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Kozgazdasagi\leidline.eniko\asztal\2024 ZÁRÁS\"/>
    </mc:Choice>
  </mc:AlternateContent>
  <xr:revisionPtr revIDLastSave="0" documentId="13_ncr:1_{F62C967F-3775-433F-AFD7-261943292BFE}" xr6:coauthVersionLast="47" xr6:coauthVersionMax="47" xr10:uidLastSave="{00000000-0000-0000-0000-000000000000}"/>
  <bookViews>
    <workbookView xWindow="-120" yWindow="-120" windowWidth="29040" windowHeight="15720" firstSheet="8" activeTab="1" xr2:uid="{00000000-000D-0000-FFFF-FFFF00000000}"/>
  </bookViews>
  <sheets>
    <sheet name="kiemelt előirányzat" sheetId="30" r:id="rId1"/>
    <sheet name="1.bevételek össz" sheetId="46" r:id="rId2"/>
    <sheet name="2.tartozások" sheetId="59" r:id="rId3"/>
    <sheet name="3.kiadások össz" sheetId="2" r:id="rId4"/>
    <sheet name="3a kiadások részl. 3 tábl." sheetId="45" r:id="rId5"/>
    <sheet name="4.finansz bev kiad" sheetId="3" r:id="rId6"/>
    <sheet name="5.beruh felújít pályázatból" sheetId="6" r:id="rId7"/>
    <sheet name="EU PROJEKT " sheetId="25" state="hidden" r:id="rId8"/>
    <sheet name=" 5.a beruházások összesen" sheetId="60" r:id="rId9"/>
    <sheet name="5b.h.udvarok beruházási értékei" sheetId="47" r:id="rId10"/>
    <sheet name="5c. rekultivált ter. értékei" sheetId="52" r:id="rId11"/>
    <sheet name="6.tartalékok" sheetId="8" r:id="rId12"/>
    <sheet name="7.tagi hozzájárulások" sheetId="12" r:id="rId13"/>
    <sheet name="8.egyéb műk. és felhalm. bev " sheetId="48" r:id="rId14"/>
    <sheet name="létszám" sheetId="17" state="hidden" r:id="rId15"/>
    <sheet name="9.MÉRLEG BEVÉTEL" sheetId="1" r:id="rId16"/>
    <sheet name="10.MÉRLEG KIADÁS" sheetId="24" r:id="rId17"/>
    <sheet name="EI ÜTEMTERV" sheetId="20" state="hidden" r:id="rId18"/>
    <sheet name="11eszközök" sheetId="38" r:id="rId19"/>
    <sheet name="12források" sheetId="39" r:id="rId20"/>
    <sheet name="13vagyonkimutatás" sheetId="40" r:id="rId21"/>
    <sheet name="14pénzeszközök változása" sheetId="37" r:id="rId22"/>
    <sheet name="15,ÚJ RENDELET MELLÉKLET" sheetId="21" r:id="rId23"/>
    <sheet name="16.pénzmaradvány megbontás" sheetId="50" r:id="rId24"/>
  </sheets>
  <externalReferences>
    <externalReference r:id="rId25"/>
    <externalReference r:id="rId26"/>
  </externalReferences>
  <definedNames>
    <definedName name="foot_37_place" localSheetId="1">'1.bevételek össz'!#REF!</definedName>
    <definedName name="_xlnm.Print_Area" localSheetId="1">'1.bevételek össz'!$A$1:$I$46</definedName>
    <definedName name="_xlnm.Print_Area" localSheetId="16">'10.MÉRLEG KIADÁS'!$A$1:$D$36</definedName>
    <definedName name="_xlnm.Print_Area" localSheetId="18">'11eszközök'!$B$3:$G$141</definedName>
    <definedName name="_xlnm.Print_Area" localSheetId="19">'12források'!$A$2:$H$75</definedName>
    <definedName name="_xlnm.Print_Area" localSheetId="22">'15,ÚJ RENDELET MELLÉKLET'!$A$1:$D$81</definedName>
    <definedName name="_xlnm.Print_Area" localSheetId="3">'3.kiadások össz'!$A$1:$J$40</definedName>
    <definedName name="_xlnm.Print_Area" localSheetId="5">'4.finansz bev kiad'!$A$1:$G$20</definedName>
    <definedName name="_xlnm.Print_Area" localSheetId="6">'5.beruh felújít pályázatból'!$A$1:$D$29</definedName>
    <definedName name="_xlnm.Print_Area" localSheetId="11">'6.tartalékok'!$A$1:$F$20</definedName>
    <definedName name="_xlnm.Print_Area" localSheetId="12">'7.tagi hozzájárulások'!$A$1:$D$46</definedName>
    <definedName name="_xlnm.Print_Area" localSheetId="13">'8.egyéb műk. és felhalm. bev '!$A$1:$E$18</definedName>
    <definedName name="_xlnm.Print_Area" localSheetId="15">'9.MÉRLEG BEVÉTEL'!$A$1:$D$44</definedName>
    <definedName name="_xlnm.Print_Area" localSheetId="17">'EI ÜTEMTERV'!$A$1:$N$70</definedName>
    <definedName name="_xlnm.Print_Area" localSheetId="7">'EU PROJEKT '!$A$1:$G$38</definedName>
    <definedName name="_xlnm.Print_Area" localSheetId="0">'kiemelt előirányzat'!$A$1:$H$21</definedName>
    <definedName name="_xlnm.Print_Area" localSheetId="14">létszám!$A$1:$B$14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0" l="1"/>
  <c r="D10" i="30"/>
  <c r="D13" i="30" s="1"/>
  <c r="D18" i="30" s="1"/>
  <c r="D20" i="30" s="1"/>
  <c r="G21" i="39"/>
  <c r="G13" i="39"/>
  <c r="F72" i="39"/>
  <c r="G123" i="38"/>
  <c r="I42" i="45"/>
  <c r="I39" i="45"/>
  <c r="H12" i="30"/>
  <c r="H13" i="30"/>
  <c r="H18" i="30" s="1"/>
  <c r="H20" i="30" s="1"/>
  <c r="G12" i="30"/>
  <c r="D17" i="30"/>
  <c r="D14" i="30"/>
  <c r="D8" i="30"/>
  <c r="C19" i="30"/>
  <c r="C10" i="30"/>
  <c r="I20" i="46"/>
  <c r="B37" i="45"/>
  <c r="H21" i="45"/>
  <c r="H25" i="45"/>
  <c r="E81" i="21" l="1"/>
  <c r="E80" i="21"/>
  <c r="E79" i="21"/>
  <c r="E78" i="21"/>
  <c r="E77" i="21"/>
  <c r="F64" i="21"/>
  <c r="E65" i="21"/>
  <c r="E62" i="21"/>
  <c r="E57" i="21"/>
  <c r="E56" i="21"/>
  <c r="E55" i="21"/>
  <c r="E54" i="21"/>
  <c r="E53" i="21"/>
  <c r="E52" i="21"/>
  <c r="E51" i="21"/>
  <c r="E50" i="21"/>
  <c r="E49" i="21"/>
  <c r="E48" i="21"/>
  <c r="E47" i="21"/>
  <c r="E46" i="21"/>
  <c r="E45" i="21"/>
  <c r="E44" i="21"/>
  <c r="E37" i="21"/>
  <c r="E36" i="21"/>
  <c r="E35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19" i="21"/>
  <c r="E18" i="21"/>
  <c r="E17" i="21"/>
  <c r="E16" i="21"/>
  <c r="E15" i="21"/>
  <c r="E14" i="21"/>
  <c r="E13" i="21"/>
  <c r="E12" i="21"/>
  <c r="E11" i="21"/>
  <c r="E10" i="21"/>
  <c r="E7" i="21"/>
  <c r="E6" i="21"/>
  <c r="E38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8" i="24"/>
  <c r="E17" i="24"/>
  <c r="E16" i="24"/>
  <c r="E15" i="24"/>
  <c r="E14" i="24"/>
  <c r="E13" i="24"/>
  <c r="E12" i="24"/>
  <c r="E11" i="24"/>
  <c r="E10" i="24"/>
  <c r="E9" i="24"/>
  <c r="E6" i="24"/>
  <c r="E5" i="24"/>
  <c r="E40" i="1"/>
  <c r="E39" i="1"/>
  <c r="E38" i="1"/>
  <c r="E37" i="1"/>
  <c r="E36" i="1"/>
  <c r="E31" i="1"/>
  <c r="E30" i="1"/>
  <c r="E29" i="1"/>
  <c r="E28" i="1"/>
  <c r="E27" i="1"/>
  <c r="E26" i="1"/>
  <c r="E25" i="1"/>
  <c r="E21" i="1"/>
  <c r="F20" i="1"/>
  <c r="F19" i="1"/>
  <c r="F18" i="1"/>
  <c r="E16" i="1"/>
  <c r="E15" i="1"/>
  <c r="E14" i="1"/>
  <c r="E13" i="1"/>
  <c r="E12" i="1"/>
  <c r="E11" i="1"/>
  <c r="E10" i="1"/>
  <c r="E9" i="1"/>
  <c r="E8" i="1"/>
  <c r="E7" i="1"/>
  <c r="E6" i="1"/>
  <c r="E5" i="1"/>
  <c r="F15" i="48"/>
  <c r="F13" i="48"/>
  <c r="E16" i="48"/>
  <c r="E15" i="48"/>
  <c r="E14" i="48"/>
  <c r="E13" i="48"/>
  <c r="F9" i="48"/>
  <c r="E9" i="48"/>
  <c r="F8" i="48"/>
  <c r="E8" i="48"/>
  <c r="F7" i="48"/>
  <c r="F6" i="48"/>
  <c r="E7" i="48"/>
  <c r="E6" i="48"/>
  <c r="F27" i="12"/>
  <c r="C27" i="12"/>
  <c r="E26" i="12"/>
  <c r="B27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0" i="12"/>
  <c r="E39" i="12"/>
  <c r="E38" i="12"/>
  <c r="E36" i="12"/>
  <c r="E35" i="12"/>
  <c r="E34" i="12"/>
  <c r="E33" i="12"/>
  <c r="E32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8" i="12"/>
  <c r="E7" i="12"/>
  <c r="E6" i="12"/>
  <c r="E5" i="12"/>
  <c r="F21" i="8"/>
  <c r="E21" i="8"/>
  <c r="D21" i="8"/>
  <c r="C21" i="8"/>
  <c r="B21" i="8"/>
  <c r="E17" i="8"/>
  <c r="E16" i="8"/>
  <c r="E10" i="8"/>
  <c r="E9" i="8"/>
  <c r="E8" i="8"/>
  <c r="E7" i="8"/>
  <c r="E6" i="8"/>
  <c r="E5" i="8"/>
  <c r="S25" i="60"/>
  <c r="S24" i="60"/>
  <c r="S23" i="60"/>
  <c r="P21" i="60"/>
  <c r="O21" i="60"/>
  <c r="N21" i="60"/>
  <c r="M21" i="60"/>
  <c r="K21" i="60"/>
  <c r="I21" i="60"/>
  <c r="S20" i="60"/>
  <c r="R20" i="60"/>
  <c r="T20" i="60" s="1"/>
  <c r="Q20" i="60"/>
  <c r="J20" i="60"/>
  <c r="I20" i="60"/>
  <c r="L20" i="60" s="1"/>
  <c r="U20" i="60" s="1"/>
  <c r="S19" i="60"/>
  <c r="R19" i="60"/>
  <c r="T19" i="60" s="1"/>
  <c r="Q19" i="60"/>
  <c r="J19" i="60"/>
  <c r="I19" i="60"/>
  <c r="L19" i="60" s="1"/>
  <c r="U19" i="60" s="1"/>
  <c r="R18" i="60"/>
  <c r="T18" i="60" s="1"/>
  <c r="Q18" i="60"/>
  <c r="H18" i="60"/>
  <c r="U18" i="60" s="1"/>
  <c r="F18" i="60"/>
  <c r="E18" i="60"/>
  <c r="S17" i="60"/>
  <c r="R17" i="60"/>
  <c r="T17" i="60" s="1"/>
  <c r="Q17" i="60"/>
  <c r="H17" i="60"/>
  <c r="U17" i="60" s="1"/>
  <c r="S16" i="60"/>
  <c r="Q16" i="60"/>
  <c r="J16" i="60"/>
  <c r="J21" i="60" s="1"/>
  <c r="I16" i="60"/>
  <c r="G16" i="60"/>
  <c r="F16" i="60"/>
  <c r="H16" i="60" s="1"/>
  <c r="U15" i="60"/>
  <c r="S15" i="60"/>
  <c r="R15" i="60"/>
  <c r="T15" i="60" s="1"/>
  <c r="Q15" i="60"/>
  <c r="L15" i="60"/>
  <c r="H15" i="60"/>
  <c r="S14" i="60"/>
  <c r="R14" i="60"/>
  <c r="T14" i="60" s="1"/>
  <c r="Q14" i="60"/>
  <c r="J14" i="60"/>
  <c r="I14" i="60"/>
  <c r="L14" i="60" s="1"/>
  <c r="H14" i="60"/>
  <c r="U14" i="60" s="1"/>
  <c r="S13" i="60"/>
  <c r="R13" i="60"/>
  <c r="T13" i="60" s="1"/>
  <c r="G13" i="60"/>
  <c r="G21" i="60" s="1"/>
  <c r="G22" i="60" s="1"/>
  <c r="F13" i="60"/>
  <c r="E13" i="60"/>
  <c r="Q13" i="60" s="1"/>
  <c r="S12" i="60"/>
  <c r="S21" i="60" s="1"/>
  <c r="F12" i="60"/>
  <c r="R12" i="60" s="1"/>
  <c r="E12" i="60"/>
  <c r="E21" i="60" s="1"/>
  <c r="M11" i="60"/>
  <c r="M22" i="60" s="1"/>
  <c r="M26" i="60" s="1"/>
  <c r="H11" i="60"/>
  <c r="F11" i="60"/>
  <c r="E11" i="60"/>
  <c r="S10" i="60"/>
  <c r="O10" i="60"/>
  <c r="O11" i="60" s="1"/>
  <c r="O22" i="60" s="1"/>
  <c r="O26" i="60" s="1"/>
  <c r="N10" i="60"/>
  <c r="P10" i="60" s="1"/>
  <c r="P11" i="60" s="1"/>
  <c r="P22" i="60" s="1"/>
  <c r="P26" i="60" s="1"/>
  <c r="K10" i="60"/>
  <c r="J10" i="60"/>
  <c r="R10" i="60" s="1"/>
  <c r="T10" i="60" s="1"/>
  <c r="I10" i="60"/>
  <c r="Q10" i="60" s="1"/>
  <c r="R9" i="60"/>
  <c r="R11" i="60" s="1"/>
  <c r="Q9" i="60"/>
  <c r="Q11" i="60" s="1"/>
  <c r="K9" i="60"/>
  <c r="T9" i="60" s="1"/>
  <c r="T11" i="60" s="1"/>
  <c r="J9" i="60"/>
  <c r="J11" i="60" s="1"/>
  <c r="J22" i="60" s="1"/>
  <c r="I9" i="60"/>
  <c r="I11" i="60" s="1"/>
  <c r="I22" i="60" s="1"/>
  <c r="I26" i="60" s="1"/>
  <c r="U8" i="60"/>
  <c r="S8" i="60"/>
  <c r="R8" i="60"/>
  <c r="T8" i="60" s="1"/>
  <c r="Q8" i="60"/>
  <c r="U7" i="60"/>
  <c r="S7" i="60"/>
  <c r="R7" i="60"/>
  <c r="T7" i="60" s="1"/>
  <c r="Q7" i="60"/>
  <c r="T12" i="60" l="1"/>
  <c r="J26" i="60"/>
  <c r="E22" i="60"/>
  <c r="E26" i="60" s="1"/>
  <c r="U16" i="60"/>
  <c r="G26" i="60"/>
  <c r="L9" i="60"/>
  <c r="R16" i="60"/>
  <c r="T16" i="60" s="1"/>
  <c r="H12" i="60"/>
  <c r="Q12" i="60"/>
  <c r="Q21" i="60" s="1"/>
  <c r="Q22" i="60" s="1"/>
  <c r="Q26" i="60" s="1"/>
  <c r="H13" i="60"/>
  <c r="U13" i="60" s="1"/>
  <c r="F21" i="60"/>
  <c r="F22" i="60" s="1"/>
  <c r="F26" i="60" s="1"/>
  <c r="K11" i="60"/>
  <c r="L16" i="60"/>
  <c r="L21" i="60" s="1"/>
  <c r="L10" i="60"/>
  <c r="U10" i="60" s="1"/>
  <c r="N11" i="60"/>
  <c r="N22" i="60" s="1"/>
  <c r="N26" i="60" s="1"/>
  <c r="S9" i="60"/>
  <c r="T21" i="60" l="1"/>
  <c r="T22" i="60" s="1"/>
  <c r="T26" i="60" s="1"/>
  <c r="L11" i="60"/>
  <c r="L22" i="60" s="1"/>
  <c r="L26" i="60" s="1"/>
  <c r="U9" i="60"/>
  <c r="U11" i="60" s="1"/>
  <c r="K22" i="60"/>
  <c r="S11" i="60"/>
  <c r="R21" i="60"/>
  <c r="R22" i="60" s="1"/>
  <c r="R26" i="60" s="1"/>
  <c r="U12" i="60"/>
  <c r="U21" i="60" s="1"/>
  <c r="H21" i="60"/>
  <c r="H22" i="60" s="1"/>
  <c r="H26" i="60" s="1"/>
  <c r="K26" i="60" l="1"/>
  <c r="S26" i="60" s="1"/>
  <c r="S22" i="60"/>
  <c r="U22" i="60"/>
  <c r="U26" i="60" s="1"/>
  <c r="F7" i="3" l="1"/>
  <c r="F19" i="3"/>
  <c r="F18" i="3"/>
  <c r="F17" i="3"/>
  <c r="F16" i="3"/>
  <c r="F15" i="3"/>
  <c r="F14" i="3"/>
  <c r="F8" i="3"/>
  <c r="F6" i="3"/>
  <c r="F5" i="3"/>
  <c r="E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19" i="2"/>
  <c r="H18" i="2"/>
  <c r="H16" i="2"/>
  <c r="H15" i="2"/>
  <c r="H14" i="2"/>
  <c r="H13" i="2"/>
  <c r="H12" i="2"/>
  <c r="H11" i="2"/>
  <c r="H10" i="2"/>
  <c r="H9" i="2"/>
  <c r="H8" i="2"/>
  <c r="H7" i="2"/>
  <c r="H6" i="2"/>
  <c r="H5" i="2"/>
  <c r="I31" i="2"/>
  <c r="AF139" i="59"/>
  <c r="AI135" i="59"/>
  <c r="AL134" i="59"/>
  <c r="AK134" i="59"/>
  <c r="AJ134" i="59"/>
  <c r="AI134" i="59"/>
  <c r="AA134" i="59"/>
  <c r="Z134" i="59"/>
  <c r="Y134" i="59"/>
  <c r="X134" i="59"/>
  <c r="W134" i="59"/>
  <c r="V134" i="59"/>
  <c r="U134" i="59"/>
  <c r="T134" i="59"/>
  <c r="S134" i="59"/>
  <c r="R134" i="59"/>
  <c r="Q134" i="59"/>
  <c r="P134" i="59"/>
  <c r="O134" i="59"/>
  <c r="N134" i="59"/>
  <c r="M134" i="59"/>
  <c r="L134" i="59"/>
  <c r="K134" i="59"/>
  <c r="J134" i="59"/>
  <c r="I134" i="59"/>
  <c r="H134" i="59"/>
  <c r="G134" i="59"/>
  <c r="F134" i="59"/>
  <c r="AD134" i="59" s="1"/>
  <c r="AO134" i="59" s="1"/>
  <c r="E134" i="59"/>
  <c r="AC134" i="59" s="1"/>
  <c r="D134" i="59"/>
  <c r="B134" i="59"/>
  <c r="AL133" i="59"/>
  <c r="AK133" i="59"/>
  <c r="AJ133" i="59"/>
  <c r="AI133" i="59"/>
  <c r="AA133" i="59"/>
  <c r="Z133" i="59"/>
  <c r="Y133" i="59"/>
  <c r="X133" i="59"/>
  <c r="W133" i="59"/>
  <c r="V133" i="59"/>
  <c r="U133" i="59"/>
  <c r="T133" i="59"/>
  <c r="S133" i="59"/>
  <c r="R133" i="59"/>
  <c r="Q133" i="59"/>
  <c r="P133" i="59"/>
  <c r="O133" i="59"/>
  <c r="N133" i="59"/>
  <c r="M133" i="59"/>
  <c r="L133" i="59"/>
  <c r="K133" i="59"/>
  <c r="J133" i="59"/>
  <c r="I133" i="59"/>
  <c r="H133" i="59"/>
  <c r="G133" i="59"/>
  <c r="F133" i="59"/>
  <c r="AD133" i="59" s="1"/>
  <c r="AO133" i="59" s="1"/>
  <c r="E133" i="59"/>
  <c r="D133" i="59"/>
  <c r="B133" i="59"/>
  <c r="AL132" i="59"/>
  <c r="AK132" i="59"/>
  <c r="AJ132" i="59"/>
  <c r="AI132" i="59"/>
  <c r="AA132" i="59"/>
  <c r="Z132" i="59"/>
  <c r="AR132" i="59" s="1"/>
  <c r="Y132" i="59"/>
  <c r="X132" i="59"/>
  <c r="W132" i="59"/>
  <c r="V132" i="59"/>
  <c r="U132" i="59"/>
  <c r="T132" i="59"/>
  <c r="S132" i="59"/>
  <c r="R132" i="59"/>
  <c r="Q132" i="59"/>
  <c r="P132" i="59"/>
  <c r="O132" i="59"/>
  <c r="N132" i="59"/>
  <c r="M132" i="59"/>
  <c r="L132" i="59"/>
  <c r="K132" i="59"/>
  <c r="J132" i="59"/>
  <c r="AC132" i="59" s="1"/>
  <c r="AG132" i="59" s="1"/>
  <c r="AN132" i="59" s="1"/>
  <c r="I132" i="59"/>
  <c r="H132" i="59"/>
  <c r="G132" i="59"/>
  <c r="F132" i="59"/>
  <c r="AD132" i="59" s="1"/>
  <c r="AO132" i="59" s="1"/>
  <c r="E132" i="59"/>
  <c r="D132" i="59"/>
  <c r="B132" i="59"/>
  <c r="AL131" i="59"/>
  <c r="AK131" i="59"/>
  <c r="AJ131" i="59"/>
  <c r="AI131" i="59"/>
  <c r="AA131" i="59"/>
  <c r="Z131" i="59"/>
  <c r="Y131" i="59"/>
  <c r="X131" i="59"/>
  <c r="W131" i="59"/>
  <c r="V131" i="59"/>
  <c r="U131" i="59"/>
  <c r="T131" i="59"/>
  <c r="S131" i="59"/>
  <c r="R131" i="59"/>
  <c r="Q131" i="59"/>
  <c r="P131" i="59"/>
  <c r="O131" i="59"/>
  <c r="N131" i="59"/>
  <c r="M131" i="59"/>
  <c r="L131" i="59"/>
  <c r="K131" i="59"/>
  <c r="J131" i="59"/>
  <c r="I131" i="59"/>
  <c r="H131" i="59"/>
  <c r="G131" i="59"/>
  <c r="F131" i="59"/>
  <c r="AD131" i="59" s="1"/>
  <c r="AO131" i="59" s="1"/>
  <c r="E131" i="59"/>
  <c r="D131" i="59"/>
  <c r="B131" i="59"/>
  <c r="AL130" i="59"/>
  <c r="AK130" i="59"/>
  <c r="AJ130" i="59"/>
  <c r="AI130" i="59"/>
  <c r="AD130" i="59"/>
  <c r="AO130" i="59" s="1"/>
  <c r="AA130" i="59"/>
  <c r="Z130" i="59"/>
  <c r="Y130" i="59"/>
  <c r="X130" i="59"/>
  <c r="W130" i="59"/>
  <c r="V130" i="59"/>
  <c r="U130" i="59"/>
  <c r="T130" i="59"/>
  <c r="S130" i="59"/>
  <c r="R130" i="59"/>
  <c r="Q130" i="59"/>
  <c r="P130" i="59"/>
  <c r="O130" i="59"/>
  <c r="N130" i="59"/>
  <c r="M130" i="59"/>
  <c r="L130" i="59"/>
  <c r="K130" i="59"/>
  <c r="J130" i="59"/>
  <c r="I130" i="59"/>
  <c r="H130" i="59"/>
  <c r="G130" i="59"/>
  <c r="F130" i="59"/>
  <c r="E130" i="59"/>
  <c r="D130" i="59"/>
  <c r="B130" i="59"/>
  <c r="AQ129" i="59"/>
  <c r="AL129" i="59"/>
  <c r="AK129" i="59"/>
  <c r="AJ129" i="59"/>
  <c r="AI129" i="59"/>
  <c r="AD129" i="59"/>
  <c r="AO129" i="59" s="1"/>
  <c r="AA129" i="59"/>
  <c r="Z129" i="59"/>
  <c r="Y129" i="59"/>
  <c r="X129" i="59"/>
  <c r="W129" i="59"/>
  <c r="V129" i="59"/>
  <c r="U129" i="59"/>
  <c r="T129" i="59"/>
  <c r="S129" i="59"/>
  <c r="R129" i="59"/>
  <c r="Q129" i="59"/>
  <c r="P129" i="59"/>
  <c r="O129" i="59"/>
  <c r="N129" i="59"/>
  <c r="M129" i="59"/>
  <c r="L129" i="59"/>
  <c r="K129" i="59"/>
  <c r="J129" i="59"/>
  <c r="I129" i="59"/>
  <c r="H129" i="59"/>
  <c r="G129" i="59"/>
  <c r="F129" i="59"/>
  <c r="E129" i="59"/>
  <c r="D129" i="59"/>
  <c r="B129" i="59"/>
  <c r="AL128" i="59"/>
  <c r="AK128" i="59"/>
  <c r="AJ128" i="59"/>
  <c r="AI128" i="59"/>
  <c r="AA128" i="59"/>
  <c r="Z128" i="59"/>
  <c r="Y128" i="59"/>
  <c r="X128" i="59"/>
  <c r="W128" i="59"/>
  <c r="V128" i="59"/>
  <c r="U128" i="59"/>
  <c r="T128" i="59"/>
  <c r="S128" i="59"/>
  <c r="R128" i="59"/>
  <c r="Q128" i="59"/>
  <c r="P128" i="59"/>
  <c r="O128" i="59"/>
  <c r="N128" i="59"/>
  <c r="M128" i="59"/>
  <c r="L128" i="59"/>
  <c r="K128" i="59"/>
  <c r="J128" i="59"/>
  <c r="I128" i="59"/>
  <c r="H128" i="59"/>
  <c r="G128" i="59"/>
  <c r="F128" i="59"/>
  <c r="AD128" i="59" s="1"/>
  <c r="AO128" i="59" s="1"/>
  <c r="E128" i="59"/>
  <c r="D128" i="59"/>
  <c r="B128" i="59"/>
  <c r="AL127" i="59"/>
  <c r="AK127" i="59"/>
  <c r="AJ127" i="59"/>
  <c r="AI127" i="59"/>
  <c r="AA127" i="59"/>
  <c r="Z127" i="59"/>
  <c r="Y127" i="59"/>
  <c r="X127" i="59"/>
  <c r="W127" i="59"/>
  <c r="V127" i="59"/>
  <c r="U127" i="59"/>
  <c r="T127" i="59"/>
  <c r="S127" i="59"/>
  <c r="R127" i="59"/>
  <c r="Q127" i="59"/>
  <c r="P127" i="59"/>
  <c r="O127" i="59"/>
  <c r="N127" i="59"/>
  <c r="M127" i="59"/>
  <c r="L127" i="59"/>
  <c r="K127" i="59"/>
  <c r="J127" i="59"/>
  <c r="I127" i="59"/>
  <c r="H127" i="59"/>
  <c r="G127" i="59"/>
  <c r="F127" i="59"/>
  <c r="AD127" i="59" s="1"/>
  <c r="AO127" i="59" s="1"/>
  <c r="E127" i="59"/>
  <c r="D127" i="59"/>
  <c r="B127" i="59"/>
  <c r="AO126" i="59"/>
  <c r="AL126" i="59"/>
  <c r="AK126" i="59"/>
  <c r="AJ126" i="59"/>
  <c r="AI126" i="59"/>
  <c r="AA126" i="59"/>
  <c r="Z126" i="59"/>
  <c r="Y126" i="59"/>
  <c r="X126" i="59"/>
  <c r="W126" i="59"/>
  <c r="V126" i="59"/>
  <c r="U126" i="59"/>
  <c r="T126" i="59"/>
  <c r="S126" i="59"/>
  <c r="R126" i="59"/>
  <c r="Q126" i="59"/>
  <c r="P126" i="59"/>
  <c r="O126" i="59"/>
  <c r="N126" i="59"/>
  <c r="M126" i="59"/>
  <c r="L126" i="59"/>
  <c r="K126" i="59"/>
  <c r="J126" i="59"/>
  <c r="I126" i="59"/>
  <c r="H126" i="59"/>
  <c r="G126" i="59"/>
  <c r="F126" i="59"/>
  <c r="AD126" i="59" s="1"/>
  <c r="E126" i="59"/>
  <c r="D126" i="59"/>
  <c r="B126" i="59"/>
  <c r="AN125" i="59"/>
  <c r="AL125" i="59"/>
  <c r="AK125" i="59"/>
  <c r="AJ125" i="59"/>
  <c r="AI125" i="59"/>
  <c r="AH125" i="59"/>
  <c r="AD125" i="59"/>
  <c r="AO125" i="59" s="1"/>
  <c r="AA125" i="59"/>
  <c r="Z125" i="59"/>
  <c r="Y125" i="59"/>
  <c r="X125" i="59"/>
  <c r="W125" i="59"/>
  <c r="V125" i="59"/>
  <c r="U125" i="59"/>
  <c r="T125" i="59"/>
  <c r="S125" i="59"/>
  <c r="R125" i="59"/>
  <c r="Q125" i="59"/>
  <c r="P125" i="59"/>
  <c r="O125" i="59"/>
  <c r="N125" i="59"/>
  <c r="M125" i="59"/>
  <c r="L125" i="59"/>
  <c r="K125" i="59"/>
  <c r="J125" i="59"/>
  <c r="I125" i="59"/>
  <c r="H125" i="59"/>
  <c r="G125" i="59"/>
  <c r="F125" i="59"/>
  <c r="E125" i="59"/>
  <c r="D125" i="59"/>
  <c r="B125" i="59"/>
  <c r="AO124" i="59"/>
  <c r="AL124" i="59"/>
  <c r="AK124" i="59"/>
  <c r="AJ124" i="59"/>
  <c r="AI124" i="59"/>
  <c r="AD124" i="59"/>
  <c r="AA124" i="59"/>
  <c r="Z124" i="59"/>
  <c r="Y124" i="59"/>
  <c r="X124" i="59"/>
  <c r="W124" i="59"/>
  <c r="V124" i="59"/>
  <c r="U124" i="59"/>
  <c r="T124" i="59"/>
  <c r="S124" i="59"/>
  <c r="R124" i="59"/>
  <c r="Q124" i="59"/>
  <c r="P124" i="59"/>
  <c r="O124" i="59"/>
  <c r="N124" i="59"/>
  <c r="M124" i="59"/>
  <c r="L124" i="59"/>
  <c r="K124" i="59"/>
  <c r="J124" i="59"/>
  <c r="I124" i="59"/>
  <c r="H124" i="59"/>
  <c r="G124" i="59"/>
  <c r="F124" i="59"/>
  <c r="E124" i="59"/>
  <c r="D124" i="59"/>
  <c r="B124" i="59"/>
  <c r="AL123" i="59"/>
  <c r="AK123" i="59"/>
  <c r="AJ123" i="59"/>
  <c r="AI123" i="59"/>
  <c r="AA123" i="59"/>
  <c r="Z123" i="59"/>
  <c r="Y123" i="59"/>
  <c r="X123" i="59"/>
  <c r="W123" i="59"/>
  <c r="V123" i="59"/>
  <c r="U123" i="59"/>
  <c r="T123" i="59"/>
  <c r="S123" i="59"/>
  <c r="R123" i="59"/>
  <c r="Q123" i="59"/>
  <c r="P123" i="59"/>
  <c r="O123" i="59"/>
  <c r="N123" i="59"/>
  <c r="M123" i="59"/>
  <c r="L123" i="59"/>
  <c r="K123" i="59"/>
  <c r="J123" i="59"/>
  <c r="I123" i="59"/>
  <c r="H123" i="59"/>
  <c r="G123" i="59"/>
  <c r="F123" i="59"/>
  <c r="AD123" i="59" s="1"/>
  <c r="AO123" i="59" s="1"/>
  <c r="E123" i="59"/>
  <c r="D123" i="59"/>
  <c r="B123" i="59"/>
  <c r="AL122" i="59"/>
  <c r="AK122" i="59"/>
  <c r="AJ122" i="59"/>
  <c r="AI122" i="59"/>
  <c r="AA122" i="59"/>
  <c r="Z122" i="59"/>
  <c r="Y122" i="59"/>
  <c r="X122" i="59"/>
  <c r="W122" i="59"/>
  <c r="V122" i="59"/>
  <c r="U122" i="59"/>
  <c r="T122" i="59"/>
  <c r="S122" i="59"/>
  <c r="R122" i="59"/>
  <c r="Q122" i="59"/>
  <c r="P122" i="59"/>
  <c r="O122" i="59"/>
  <c r="N122" i="59"/>
  <c r="M122" i="59"/>
  <c r="L122" i="59"/>
  <c r="K122" i="59"/>
  <c r="J122" i="59"/>
  <c r="I122" i="59"/>
  <c r="H122" i="59"/>
  <c r="G122" i="59"/>
  <c r="F122" i="59"/>
  <c r="AD122" i="59" s="1"/>
  <c r="AO122" i="59" s="1"/>
  <c r="E122" i="59"/>
  <c r="D122" i="59"/>
  <c r="B122" i="59"/>
  <c r="AN121" i="59"/>
  <c r="AL121" i="59"/>
  <c r="AK121" i="59"/>
  <c r="AJ121" i="59"/>
  <c r="AI121" i="59"/>
  <c r="AA121" i="59"/>
  <c r="Z121" i="59"/>
  <c r="Y121" i="59"/>
  <c r="X121" i="59"/>
  <c r="W121" i="59"/>
  <c r="V121" i="59"/>
  <c r="U121" i="59"/>
  <c r="T121" i="59"/>
  <c r="S121" i="59"/>
  <c r="R121" i="59"/>
  <c r="Q121" i="59"/>
  <c r="P121" i="59"/>
  <c r="O121" i="59"/>
  <c r="N121" i="59"/>
  <c r="M121" i="59"/>
  <c r="L121" i="59"/>
  <c r="K121" i="59"/>
  <c r="J121" i="59"/>
  <c r="I121" i="59"/>
  <c r="H121" i="59"/>
  <c r="G121" i="59"/>
  <c r="F121" i="59"/>
  <c r="AD121" i="59" s="1"/>
  <c r="AO121" i="59" s="1"/>
  <c r="E121" i="59"/>
  <c r="D121" i="59"/>
  <c r="B121" i="59"/>
  <c r="AL120" i="59"/>
  <c r="AK120" i="59"/>
  <c r="AJ120" i="59"/>
  <c r="AI120" i="59"/>
  <c r="AA120" i="59"/>
  <c r="Z120" i="59"/>
  <c r="Y120" i="59"/>
  <c r="X120" i="59"/>
  <c r="W120" i="59"/>
  <c r="V120" i="59"/>
  <c r="U120" i="59"/>
  <c r="T120" i="59"/>
  <c r="S120" i="59"/>
  <c r="R120" i="59"/>
  <c r="Q120" i="59"/>
  <c r="P120" i="59"/>
  <c r="O120" i="59"/>
  <c r="N120" i="59"/>
  <c r="M120" i="59"/>
  <c r="L120" i="59"/>
  <c r="AC120" i="59" s="1"/>
  <c r="AG120" i="59" s="1"/>
  <c r="AN120" i="59" s="1"/>
  <c r="K120" i="59"/>
  <c r="J120" i="59"/>
  <c r="I120" i="59"/>
  <c r="H120" i="59"/>
  <c r="G120" i="59"/>
  <c r="F120" i="59"/>
  <c r="AD120" i="59" s="1"/>
  <c r="AO120" i="59" s="1"/>
  <c r="E120" i="59"/>
  <c r="D120" i="59"/>
  <c r="B120" i="59"/>
  <c r="AL119" i="59"/>
  <c r="AK119" i="59"/>
  <c r="AJ119" i="59"/>
  <c r="AI119" i="59"/>
  <c r="AA119" i="59"/>
  <c r="Z119" i="59"/>
  <c r="Y119" i="59"/>
  <c r="X119" i="59"/>
  <c r="AR119" i="59" s="1"/>
  <c r="W119" i="59"/>
  <c r="V119" i="59"/>
  <c r="U119" i="59"/>
  <c r="T119" i="59"/>
  <c r="S119" i="59"/>
  <c r="R119" i="59"/>
  <c r="Q119" i="59"/>
  <c r="P119" i="59"/>
  <c r="O119" i="59"/>
  <c r="N119" i="59"/>
  <c r="M119" i="59"/>
  <c r="L119" i="59"/>
  <c r="K119" i="59"/>
  <c r="J119" i="59"/>
  <c r="I119" i="59"/>
  <c r="H119" i="59"/>
  <c r="G119" i="59"/>
  <c r="F119" i="59"/>
  <c r="AD119" i="59" s="1"/>
  <c r="AO119" i="59" s="1"/>
  <c r="E119" i="59"/>
  <c r="D119" i="59"/>
  <c r="B119" i="59"/>
  <c r="AL118" i="59"/>
  <c r="AK118" i="59"/>
  <c r="AJ118" i="59"/>
  <c r="AI118" i="59"/>
  <c r="AA118" i="59"/>
  <c r="Z118" i="59"/>
  <c r="Y118" i="59"/>
  <c r="X118" i="59"/>
  <c r="W118" i="59"/>
  <c r="V118" i="59"/>
  <c r="U118" i="59"/>
  <c r="T118" i="59"/>
  <c r="S118" i="59"/>
  <c r="R118" i="59"/>
  <c r="Q118" i="59"/>
  <c r="P118" i="59"/>
  <c r="O118" i="59"/>
  <c r="N118" i="59"/>
  <c r="M118" i="59"/>
  <c r="L118" i="59"/>
  <c r="K118" i="59"/>
  <c r="J118" i="59"/>
  <c r="I118" i="59"/>
  <c r="H118" i="59"/>
  <c r="G118" i="59"/>
  <c r="F118" i="59"/>
  <c r="AD118" i="59" s="1"/>
  <c r="AO118" i="59" s="1"/>
  <c r="E118" i="59"/>
  <c r="D118" i="59"/>
  <c r="B118" i="59"/>
  <c r="AL117" i="59"/>
  <c r="AK117" i="59"/>
  <c r="AJ117" i="59"/>
  <c r="AI117" i="59"/>
  <c r="AA117" i="59"/>
  <c r="Z117" i="59"/>
  <c r="Y117" i="59"/>
  <c r="X117" i="59"/>
  <c r="W117" i="59"/>
  <c r="V117" i="59"/>
  <c r="AR117" i="59" s="1"/>
  <c r="U117" i="59"/>
  <c r="T117" i="59"/>
  <c r="S117" i="59"/>
  <c r="R117" i="59"/>
  <c r="Q117" i="59"/>
  <c r="P117" i="59"/>
  <c r="O117" i="59"/>
  <c r="N117" i="59"/>
  <c r="M117" i="59"/>
  <c r="L117" i="59"/>
  <c r="K117" i="59"/>
  <c r="J117" i="59"/>
  <c r="I117" i="59"/>
  <c r="H117" i="59"/>
  <c r="G117" i="59"/>
  <c r="F117" i="59"/>
  <c r="AD117" i="59" s="1"/>
  <c r="AO117" i="59" s="1"/>
  <c r="E117" i="59"/>
  <c r="D117" i="59"/>
  <c r="B117" i="59"/>
  <c r="AL116" i="59"/>
  <c r="AK116" i="59"/>
  <c r="AJ116" i="59"/>
  <c r="AI116" i="59"/>
  <c r="AA116" i="59"/>
  <c r="Z116" i="59"/>
  <c r="Y116" i="59"/>
  <c r="X116" i="59"/>
  <c r="W116" i="59"/>
  <c r="V116" i="59"/>
  <c r="U116" i="59"/>
  <c r="T116" i="59"/>
  <c r="S116" i="59"/>
  <c r="R116" i="59"/>
  <c r="Q116" i="59"/>
  <c r="P116" i="59"/>
  <c r="O116" i="59"/>
  <c r="N116" i="59"/>
  <c r="M116" i="59"/>
  <c r="L116" i="59"/>
  <c r="K116" i="59"/>
  <c r="J116" i="59"/>
  <c r="I116" i="59"/>
  <c r="H116" i="59"/>
  <c r="G116" i="59"/>
  <c r="F116" i="59"/>
  <c r="AD116" i="59" s="1"/>
  <c r="AO116" i="59" s="1"/>
  <c r="E116" i="59"/>
  <c r="D116" i="59"/>
  <c r="B116" i="59"/>
  <c r="AL115" i="59"/>
  <c r="AK115" i="59"/>
  <c r="AJ115" i="59"/>
  <c r="AI115" i="59"/>
  <c r="AA115" i="59"/>
  <c r="Z115" i="59"/>
  <c r="Y115" i="59"/>
  <c r="X115" i="59"/>
  <c r="W115" i="59"/>
  <c r="V115" i="59"/>
  <c r="U115" i="59"/>
  <c r="T115" i="59"/>
  <c r="S115" i="59"/>
  <c r="R115" i="59"/>
  <c r="Q115" i="59"/>
  <c r="P115" i="59"/>
  <c r="O115" i="59"/>
  <c r="N115" i="59"/>
  <c r="M115" i="59"/>
  <c r="L115" i="59"/>
  <c r="K115" i="59"/>
  <c r="J115" i="59"/>
  <c r="I115" i="59"/>
  <c r="H115" i="59"/>
  <c r="G115" i="59"/>
  <c r="F115" i="59"/>
  <c r="AD115" i="59" s="1"/>
  <c r="AO115" i="59" s="1"/>
  <c r="E115" i="59"/>
  <c r="AC115" i="59" s="1"/>
  <c r="AG115" i="59" s="1"/>
  <c r="AN115" i="59" s="1"/>
  <c r="D115" i="59"/>
  <c r="B115" i="59"/>
  <c r="AL114" i="59"/>
  <c r="AK114" i="59"/>
  <c r="AJ114" i="59"/>
  <c r="AI114" i="59"/>
  <c r="AA114" i="59"/>
  <c r="Z114" i="59"/>
  <c r="Y114" i="59"/>
  <c r="X114" i="59"/>
  <c r="W114" i="59"/>
  <c r="V114" i="59"/>
  <c r="U114" i="59"/>
  <c r="T114" i="59"/>
  <c r="S114" i="59"/>
  <c r="R114" i="59"/>
  <c r="Q114" i="59"/>
  <c r="P114" i="59"/>
  <c r="O114" i="59"/>
  <c r="N114" i="59"/>
  <c r="M114" i="59"/>
  <c r="L114" i="59"/>
  <c r="K114" i="59"/>
  <c r="J114" i="59"/>
  <c r="I114" i="59"/>
  <c r="H114" i="59"/>
  <c r="G114" i="59"/>
  <c r="F114" i="59"/>
  <c r="AD114" i="59" s="1"/>
  <c r="AO114" i="59" s="1"/>
  <c r="E114" i="59"/>
  <c r="D114" i="59"/>
  <c r="B114" i="59"/>
  <c r="AL113" i="59"/>
  <c r="AK113" i="59"/>
  <c r="AJ113" i="59"/>
  <c r="AI113" i="59"/>
  <c r="AA113" i="59"/>
  <c r="Z113" i="59"/>
  <c r="Y113" i="59"/>
  <c r="X113" i="59"/>
  <c r="W113" i="59"/>
  <c r="V113" i="59"/>
  <c r="U113" i="59"/>
  <c r="T113" i="59"/>
  <c r="S113" i="59"/>
  <c r="R113" i="59"/>
  <c r="Q113" i="59"/>
  <c r="P113" i="59"/>
  <c r="O113" i="59"/>
  <c r="N113" i="59"/>
  <c r="M113" i="59"/>
  <c r="L113" i="59"/>
  <c r="K113" i="59"/>
  <c r="J113" i="59"/>
  <c r="I113" i="59"/>
  <c r="H113" i="59"/>
  <c r="G113" i="59"/>
  <c r="F113" i="59"/>
  <c r="AD113" i="59" s="1"/>
  <c r="AO113" i="59" s="1"/>
  <c r="E113" i="59"/>
  <c r="D113" i="59"/>
  <c r="B113" i="59"/>
  <c r="AL112" i="59"/>
  <c r="AK112" i="59"/>
  <c r="AJ112" i="59"/>
  <c r="AI112" i="59"/>
  <c r="AA112" i="59"/>
  <c r="Z112" i="59"/>
  <c r="Y112" i="59"/>
  <c r="X112" i="59"/>
  <c r="W112" i="59"/>
  <c r="V112" i="59"/>
  <c r="U112" i="59"/>
  <c r="T112" i="59"/>
  <c r="S112" i="59"/>
  <c r="R112" i="59"/>
  <c r="Q112" i="59"/>
  <c r="P112" i="59"/>
  <c r="O112" i="59"/>
  <c r="N112" i="59"/>
  <c r="M112" i="59"/>
  <c r="L112" i="59"/>
  <c r="K112" i="59"/>
  <c r="J112" i="59"/>
  <c r="I112" i="59"/>
  <c r="H112" i="59"/>
  <c r="G112" i="59"/>
  <c r="F112" i="59"/>
  <c r="AD112" i="59" s="1"/>
  <c r="AO112" i="59" s="1"/>
  <c r="E112" i="59"/>
  <c r="D112" i="59"/>
  <c r="AB112" i="59" s="1"/>
  <c r="B112" i="59"/>
  <c r="AL111" i="59"/>
  <c r="AK111" i="59"/>
  <c r="AJ111" i="59"/>
  <c r="AI111" i="59"/>
  <c r="AA111" i="59"/>
  <c r="Z111" i="59"/>
  <c r="Y111" i="59"/>
  <c r="X111" i="59"/>
  <c r="W111" i="59"/>
  <c r="V111" i="59"/>
  <c r="U111" i="59"/>
  <c r="T111" i="59"/>
  <c r="S111" i="59"/>
  <c r="R111" i="59"/>
  <c r="Q111" i="59"/>
  <c r="P111" i="59"/>
  <c r="O111" i="59"/>
  <c r="N111" i="59"/>
  <c r="M111" i="59"/>
  <c r="L111" i="59"/>
  <c r="K111" i="59"/>
  <c r="J111" i="59"/>
  <c r="I111" i="59"/>
  <c r="H111" i="59"/>
  <c r="G111" i="59"/>
  <c r="F111" i="59"/>
  <c r="AD111" i="59" s="1"/>
  <c r="AO111" i="59" s="1"/>
  <c r="E111" i="59"/>
  <c r="D111" i="59"/>
  <c r="B111" i="59"/>
  <c r="AO110" i="59"/>
  <c r="AL110" i="59"/>
  <c r="AK110" i="59"/>
  <c r="AJ110" i="59"/>
  <c r="AI110" i="59"/>
  <c r="AA110" i="59"/>
  <c r="Z110" i="59"/>
  <c r="Y110" i="59"/>
  <c r="X110" i="59"/>
  <c r="AR110" i="59" s="1"/>
  <c r="W110" i="59"/>
  <c r="V110" i="59"/>
  <c r="U110" i="59"/>
  <c r="T110" i="59"/>
  <c r="S110" i="59"/>
  <c r="R110" i="59"/>
  <c r="Q110" i="59"/>
  <c r="P110" i="59"/>
  <c r="O110" i="59"/>
  <c r="N110" i="59"/>
  <c r="M110" i="59"/>
  <c r="L110" i="59"/>
  <c r="K110" i="59"/>
  <c r="J110" i="59"/>
  <c r="I110" i="59"/>
  <c r="H110" i="59"/>
  <c r="G110" i="59"/>
  <c r="F110" i="59"/>
  <c r="AD110" i="59" s="1"/>
  <c r="E110" i="59"/>
  <c r="D110" i="59"/>
  <c r="B110" i="59"/>
  <c r="AL109" i="59"/>
  <c r="AK109" i="59"/>
  <c r="AJ109" i="59"/>
  <c r="AI109" i="59"/>
  <c r="AA109" i="59"/>
  <c r="Z109" i="59"/>
  <c r="Y109" i="59"/>
  <c r="X109" i="59"/>
  <c r="W109" i="59"/>
  <c r="V109" i="59"/>
  <c r="U109" i="59"/>
  <c r="T109" i="59"/>
  <c r="S109" i="59"/>
  <c r="R109" i="59"/>
  <c r="Q109" i="59"/>
  <c r="P109" i="59"/>
  <c r="O109" i="59"/>
  <c r="N109" i="59"/>
  <c r="M109" i="59"/>
  <c r="L109" i="59"/>
  <c r="K109" i="59"/>
  <c r="J109" i="59"/>
  <c r="I109" i="59"/>
  <c r="H109" i="59"/>
  <c r="G109" i="59"/>
  <c r="F109" i="59"/>
  <c r="AD109" i="59" s="1"/>
  <c r="AO109" i="59" s="1"/>
  <c r="E109" i="59"/>
  <c r="D109" i="59"/>
  <c r="B109" i="59"/>
  <c r="AL108" i="59"/>
  <c r="AK108" i="59"/>
  <c r="AJ108" i="59"/>
  <c r="AI108" i="59"/>
  <c r="AA108" i="59"/>
  <c r="Z108" i="59"/>
  <c r="Y108" i="59"/>
  <c r="X108" i="59"/>
  <c r="W108" i="59"/>
  <c r="V108" i="59"/>
  <c r="U108" i="59"/>
  <c r="T108" i="59"/>
  <c r="S108" i="59"/>
  <c r="R108" i="59"/>
  <c r="Q108" i="59"/>
  <c r="P108" i="59"/>
  <c r="O108" i="59"/>
  <c r="N108" i="59"/>
  <c r="M108" i="59"/>
  <c r="L108" i="59"/>
  <c r="K108" i="59"/>
  <c r="J108" i="59"/>
  <c r="I108" i="59"/>
  <c r="H108" i="59"/>
  <c r="G108" i="59"/>
  <c r="F108" i="59"/>
  <c r="AD108" i="59" s="1"/>
  <c r="AO108" i="59" s="1"/>
  <c r="E108" i="59"/>
  <c r="D108" i="59"/>
  <c r="B108" i="59"/>
  <c r="AL107" i="59"/>
  <c r="AK107" i="59"/>
  <c r="AJ107" i="59"/>
  <c r="AI107" i="59"/>
  <c r="AA107" i="59"/>
  <c r="Z107" i="59"/>
  <c r="Y107" i="59"/>
  <c r="X107" i="59"/>
  <c r="W107" i="59"/>
  <c r="V107" i="59"/>
  <c r="U107" i="59"/>
  <c r="T107" i="59"/>
  <c r="S107" i="59"/>
  <c r="R107" i="59"/>
  <c r="Q107" i="59"/>
  <c r="P107" i="59"/>
  <c r="O107" i="59"/>
  <c r="N107" i="59"/>
  <c r="M107" i="59"/>
  <c r="L107" i="59"/>
  <c r="K107" i="59"/>
  <c r="J107" i="59"/>
  <c r="I107" i="59"/>
  <c r="H107" i="59"/>
  <c r="G107" i="59"/>
  <c r="F107" i="59"/>
  <c r="AD107" i="59" s="1"/>
  <c r="AO107" i="59" s="1"/>
  <c r="E107" i="59"/>
  <c r="D107" i="59"/>
  <c r="B107" i="59"/>
  <c r="AL106" i="59"/>
  <c r="AK106" i="59"/>
  <c r="AJ106" i="59"/>
  <c r="AI106" i="59"/>
  <c r="AA106" i="59"/>
  <c r="Z106" i="59"/>
  <c r="Y106" i="59"/>
  <c r="X106" i="59"/>
  <c r="W106" i="59"/>
  <c r="V106" i="59"/>
  <c r="U106" i="59"/>
  <c r="T106" i="59"/>
  <c r="S106" i="59"/>
  <c r="R106" i="59"/>
  <c r="Q106" i="59"/>
  <c r="P106" i="59"/>
  <c r="O106" i="59"/>
  <c r="N106" i="59"/>
  <c r="M106" i="59"/>
  <c r="L106" i="59"/>
  <c r="K106" i="59"/>
  <c r="J106" i="59"/>
  <c r="I106" i="59"/>
  <c r="H106" i="59"/>
  <c r="G106" i="59"/>
  <c r="F106" i="59"/>
  <c r="AD106" i="59" s="1"/>
  <c r="AO106" i="59" s="1"/>
  <c r="E106" i="59"/>
  <c r="D106" i="59"/>
  <c r="AB106" i="59" s="1"/>
  <c r="B106" i="59"/>
  <c r="AL105" i="59"/>
  <c r="AK105" i="59"/>
  <c r="AJ105" i="59"/>
  <c r="AI105" i="59"/>
  <c r="AA105" i="59"/>
  <c r="Z105" i="59"/>
  <c r="Y105" i="59"/>
  <c r="X105" i="59"/>
  <c r="W105" i="59"/>
  <c r="V105" i="59"/>
  <c r="U105" i="59"/>
  <c r="T105" i="59"/>
  <c r="S105" i="59"/>
  <c r="R105" i="59"/>
  <c r="Q105" i="59"/>
  <c r="P105" i="59"/>
  <c r="O105" i="59"/>
  <c r="N105" i="59"/>
  <c r="M105" i="59"/>
  <c r="L105" i="59"/>
  <c r="K105" i="59"/>
  <c r="J105" i="59"/>
  <c r="I105" i="59"/>
  <c r="H105" i="59"/>
  <c r="G105" i="59"/>
  <c r="F105" i="59"/>
  <c r="AD105" i="59" s="1"/>
  <c r="AO105" i="59" s="1"/>
  <c r="E105" i="59"/>
  <c r="D105" i="59"/>
  <c r="B105" i="59"/>
  <c r="AL104" i="59"/>
  <c r="AK104" i="59"/>
  <c r="AJ104" i="59"/>
  <c r="AI104" i="59"/>
  <c r="AA104" i="59"/>
  <c r="Z104" i="59"/>
  <c r="Y104" i="59"/>
  <c r="X104" i="59"/>
  <c r="W104" i="59"/>
  <c r="V104" i="59"/>
  <c r="U104" i="59"/>
  <c r="T104" i="59"/>
  <c r="S104" i="59"/>
  <c r="R104" i="59"/>
  <c r="Q104" i="59"/>
  <c r="P104" i="59"/>
  <c r="O104" i="59"/>
  <c r="N104" i="59"/>
  <c r="M104" i="59"/>
  <c r="L104" i="59"/>
  <c r="K104" i="59"/>
  <c r="J104" i="59"/>
  <c r="I104" i="59"/>
  <c r="H104" i="59"/>
  <c r="G104" i="59"/>
  <c r="F104" i="59"/>
  <c r="AD104" i="59" s="1"/>
  <c r="AO104" i="59" s="1"/>
  <c r="E104" i="59"/>
  <c r="AC104" i="59" s="1"/>
  <c r="D104" i="59"/>
  <c r="B104" i="59"/>
  <c r="AL103" i="59"/>
  <c r="AK103" i="59"/>
  <c r="AJ103" i="59"/>
  <c r="AI103" i="59"/>
  <c r="AA103" i="59"/>
  <c r="Z103" i="59"/>
  <c r="Y103" i="59"/>
  <c r="X103" i="59"/>
  <c r="W103" i="59"/>
  <c r="V103" i="59"/>
  <c r="U103" i="59"/>
  <c r="T103" i="59"/>
  <c r="S103" i="59"/>
  <c r="R103" i="59"/>
  <c r="Q103" i="59"/>
  <c r="P103" i="59"/>
  <c r="O103" i="59"/>
  <c r="N103" i="59"/>
  <c r="M103" i="59"/>
  <c r="L103" i="59"/>
  <c r="K103" i="59"/>
  <c r="J103" i="59"/>
  <c r="I103" i="59"/>
  <c r="H103" i="59"/>
  <c r="G103" i="59"/>
  <c r="F103" i="59"/>
  <c r="AD103" i="59" s="1"/>
  <c r="AO103" i="59" s="1"/>
  <c r="E103" i="59"/>
  <c r="D103" i="59"/>
  <c r="AB103" i="59" s="1"/>
  <c r="B103" i="59"/>
  <c r="AL102" i="59"/>
  <c r="AK102" i="59"/>
  <c r="AJ102" i="59"/>
  <c r="AI102" i="59"/>
  <c r="AA102" i="59"/>
  <c r="Z102" i="59"/>
  <c r="Y102" i="59"/>
  <c r="X102" i="59"/>
  <c r="W102" i="59"/>
  <c r="V102" i="59"/>
  <c r="U102" i="59"/>
  <c r="T102" i="59"/>
  <c r="S102" i="59"/>
  <c r="R102" i="59"/>
  <c r="Q102" i="59"/>
  <c r="P102" i="59"/>
  <c r="O102" i="59"/>
  <c r="N102" i="59"/>
  <c r="M102" i="59"/>
  <c r="L102" i="59"/>
  <c r="K102" i="59"/>
  <c r="J102" i="59"/>
  <c r="I102" i="59"/>
  <c r="H102" i="59"/>
  <c r="G102" i="59"/>
  <c r="F102" i="59"/>
  <c r="AD102" i="59" s="1"/>
  <c r="AO102" i="59" s="1"/>
  <c r="E102" i="59"/>
  <c r="D102" i="59"/>
  <c r="B102" i="59"/>
  <c r="AL101" i="59"/>
  <c r="AK101" i="59"/>
  <c r="AJ101" i="59"/>
  <c r="AI101" i="59"/>
  <c r="AA101" i="59"/>
  <c r="Z101" i="59"/>
  <c r="Y101" i="59"/>
  <c r="X101" i="59"/>
  <c r="W101" i="59"/>
  <c r="V101" i="59"/>
  <c r="AR101" i="59" s="1"/>
  <c r="U101" i="59"/>
  <c r="T101" i="59"/>
  <c r="S101" i="59"/>
  <c r="R101" i="59"/>
  <c r="Q101" i="59"/>
  <c r="P101" i="59"/>
  <c r="O101" i="59"/>
  <c r="N101" i="59"/>
  <c r="M101" i="59"/>
  <c r="L101" i="59"/>
  <c r="K101" i="59"/>
  <c r="J101" i="59"/>
  <c r="I101" i="59"/>
  <c r="H101" i="59"/>
  <c r="G101" i="59"/>
  <c r="F101" i="59"/>
  <c r="AD101" i="59" s="1"/>
  <c r="AO101" i="59" s="1"/>
  <c r="E101" i="59"/>
  <c r="D101" i="59"/>
  <c r="B101" i="59"/>
  <c r="AL100" i="59"/>
  <c r="AK100" i="59"/>
  <c r="AJ100" i="59"/>
  <c r="AI100" i="59"/>
  <c r="AD100" i="59"/>
  <c r="AO100" i="59" s="1"/>
  <c r="AA100" i="59"/>
  <c r="Z100" i="59"/>
  <c r="Y100" i="59"/>
  <c r="X100" i="59"/>
  <c r="W100" i="59"/>
  <c r="V100" i="59"/>
  <c r="U100" i="59"/>
  <c r="T100" i="59"/>
  <c r="S100" i="59"/>
  <c r="R100" i="59"/>
  <c r="Q100" i="59"/>
  <c r="P100" i="59"/>
  <c r="O100" i="59"/>
  <c r="N100" i="59"/>
  <c r="M100" i="59"/>
  <c r="L100" i="59"/>
  <c r="K100" i="59"/>
  <c r="J100" i="59"/>
  <c r="I100" i="59"/>
  <c r="H100" i="59"/>
  <c r="G100" i="59"/>
  <c r="F100" i="59"/>
  <c r="E100" i="59"/>
  <c r="D100" i="59"/>
  <c r="AB100" i="59" s="1"/>
  <c r="B100" i="59"/>
  <c r="AL99" i="59"/>
  <c r="AK99" i="59"/>
  <c r="AJ99" i="59"/>
  <c r="AI99" i="59"/>
  <c r="AA99" i="59"/>
  <c r="Z99" i="59"/>
  <c r="Y99" i="59"/>
  <c r="X99" i="59"/>
  <c r="W99" i="59"/>
  <c r="V99" i="59"/>
  <c r="U99" i="59"/>
  <c r="T99" i="59"/>
  <c r="S99" i="59"/>
  <c r="R99" i="59"/>
  <c r="Q99" i="59"/>
  <c r="P99" i="59"/>
  <c r="O99" i="59"/>
  <c r="N99" i="59"/>
  <c r="M99" i="59"/>
  <c r="L99" i="59"/>
  <c r="K99" i="59"/>
  <c r="J99" i="59"/>
  <c r="I99" i="59"/>
  <c r="H99" i="59"/>
  <c r="G99" i="59"/>
  <c r="F99" i="59"/>
  <c r="AD99" i="59" s="1"/>
  <c r="AO99" i="59" s="1"/>
  <c r="E99" i="59"/>
  <c r="D99" i="59"/>
  <c r="B99" i="59"/>
  <c r="AL98" i="59"/>
  <c r="AK98" i="59"/>
  <c r="AJ98" i="59"/>
  <c r="AI98" i="59"/>
  <c r="AD98" i="59"/>
  <c r="AO98" i="59" s="1"/>
  <c r="AA98" i="59"/>
  <c r="Z98" i="59"/>
  <c r="Y98" i="59"/>
  <c r="X98" i="59"/>
  <c r="W98" i="59"/>
  <c r="V98" i="59"/>
  <c r="U98" i="59"/>
  <c r="T98" i="59"/>
  <c r="S98" i="59"/>
  <c r="R98" i="59"/>
  <c r="Q98" i="59"/>
  <c r="P98" i="59"/>
  <c r="O98" i="59"/>
  <c r="N98" i="59"/>
  <c r="M98" i="59"/>
  <c r="L98" i="59"/>
  <c r="K98" i="59"/>
  <c r="J98" i="59"/>
  <c r="I98" i="59"/>
  <c r="H98" i="59"/>
  <c r="G98" i="59"/>
  <c r="F98" i="59"/>
  <c r="E98" i="59"/>
  <c r="D98" i="59"/>
  <c r="B98" i="59"/>
  <c r="AL97" i="59"/>
  <c r="AK97" i="59"/>
  <c r="AJ97" i="59"/>
  <c r="AI97" i="59"/>
  <c r="AA97" i="59"/>
  <c r="Z97" i="59"/>
  <c r="Y97" i="59"/>
  <c r="X97" i="59"/>
  <c r="W97" i="59"/>
  <c r="V97" i="59"/>
  <c r="U97" i="59"/>
  <c r="T97" i="59"/>
  <c r="S97" i="59"/>
  <c r="R97" i="59"/>
  <c r="Q97" i="59"/>
  <c r="P97" i="59"/>
  <c r="O97" i="59"/>
  <c r="N97" i="59"/>
  <c r="M97" i="59"/>
  <c r="L97" i="59"/>
  <c r="K97" i="59"/>
  <c r="J97" i="59"/>
  <c r="I97" i="59"/>
  <c r="H97" i="59"/>
  <c r="G97" i="59"/>
  <c r="F97" i="59"/>
  <c r="AD97" i="59" s="1"/>
  <c r="AO97" i="59" s="1"/>
  <c r="E97" i="59"/>
  <c r="D97" i="59"/>
  <c r="B97" i="59"/>
  <c r="AY96" i="59"/>
  <c r="AL96" i="59"/>
  <c r="AK96" i="59"/>
  <c r="AJ96" i="59"/>
  <c r="AI96" i="59"/>
  <c r="AA96" i="59"/>
  <c r="Z96" i="59"/>
  <c r="Y96" i="59"/>
  <c r="X96" i="59"/>
  <c r="W96" i="59"/>
  <c r="V96" i="59"/>
  <c r="AR96" i="59" s="1"/>
  <c r="U96" i="59"/>
  <c r="T96" i="59"/>
  <c r="S96" i="59"/>
  <c r="R96" i="59"/>
  <c r="Q96" i="59"/>
  <c r="P96" i="59"/>
  <c r="O96" i="59"/>
  <c r="N96" i="59"/>
  <c r="M96" i="59"/>
  <c r="L96" i="59"/>
  <c r="K96" i="59"/>
  <c r="J96" i="59"/>
  <c r="I96" i="59"/>
  <c r="H96" i="59"/>
  <c r="G96" i="59"/>
  <c r="F96" i="59"/>
  <c r="AD96" i="59" s="1"/>
  <c r="AO96" i="59" s="1"/>
  <c r="E96" i="59"/>
  <c r="D96" i="59"/>
  <c r="AB96" i="59" s="1"/>
  <c r="B96" i="59"/>
  <c r="AO95" i="59"/>
  <c r="AL95" i="59"/>
  <c r="AK95" i="59"/>
  <c r="AJ95" i="59"/>
  <c r="AI95" i="59"/>
  <c r="AA95" i="59"/>
  <c r="Z95" i="59"/>
  <c r="Y95" i="59"/>
  <c r="X95" i="59"/>
  <c r="W95" i="59"/>
  <c r="V95" i="59"/>
  <c r="U95" i="59"/>
  <c r="T95" i="59"/>
  <c r="S95" i="59"/>
  <c r="R95" i="59"/>
  <c r="Q95" i="59"/>
  <c r="P95" i="59"/>
  <c r="O95" i="59"/>
  <c r="N95" i="59"/>
  <c r="M95" i="59"/>
  <c r="L95" i="59"/>
  <c r="K95" i="59"/>
  <c r="J95" i="59"/>
  <c r="I95" i="59"/>
  <c r="H95" i="59"/>
  <c r="G95" i="59"/>
  <c r="F95" i="59"/>
  <c r="AD95" i="59" s="1"/>
  <c r="E95" i="59"/>
  <c r="D95" i="59"/>
  <c r="B95" i="59"/>
  <c r="AO94" i="59"/>
  <c r="AL94" i="59"/>
  <c r="AK94" i="59"/>
  <c r="AJ94" i="59"/>
  <c r="AI94" i="59"/>
  <c r="AA94" i="59"/>
  <c r="Z94" i="59"/>
  <c r="Y94" i="59"/>
  <c r="X94" i="59"/>
  <c r="W94" i="59"/>
  <c r="V94" i="59"/>
  <c r="U94" i="59"/>
  <c r="T94" i="59"/>
  <c r="S94" i="59"/>
  <c r="R94" i="59"/>
  <c r="Q94" i="59"/>
  <c r="P94" i="59"/>
  <c r="O94" i="59"/>
  <c r="N94" i="59"/>
  <c r="M94" i="59"/>
  <c r="L94" i="59"/>
  <c r="K94" i="59"/>
  <c r="J94" i="59"/>
  <c r="I94" i="59"/>
  <c r="H94" i="59"/>
  <c r="G94" i="59"/>
  <c r="F94" i="59"/>
  <c r="AD94" i="59" s="1"/>
  <c r="E94" i="59"/>
  <c r="D94" i="59"/>
  <c r="B94" i="59"/>
  <c r="AL93" i="59"/>
  <c r="AK93" i="59"/>
  <c r="AJ93" i="59"/>
  <c r="AI93" i="59"/>
  <c r="AA93" i="59"/>
  <c r="Z93" i="59"/>
  <c r="Y93" i="59"/>
  <c r="X93" i="59"/>
  <c r="W93" i="59"/>
  <c r="V93" i="59"/>
  <c r="U93" i="59"/>
  <c r="T93" i="59"/>
  <c r="S93" i="59"/>
  <c r="R93" i="59"/>
  <c r="Q93" i="59"/>
  <c r="P93" i="59"/>
  <c r="O93" i="59"/>
  <c r="N93" i="59"/>
  <c r="M93" i="59"/>
  <c r="L93" i="59"/>
  <c r="K93" i="59"/>
  <c r="J93" i="59"/>
  <c r="I93" i="59"/>
  <c r="H93" i="59"/>
  <c r="AC93" i="59" s="1"/>
  <c r="G93" i="59"/>
  <c r="F93" i="59"/>
  <c r="AD93" i="59" s="1"/>
  <c r="AO93" i="59" s="1"/>
  <c r="E93" i="59"/>
  <c r="D93" i="59"/>
  <c r="B93" i="59"/>
  <c r="AL92" i="59"/>
  <c r="AK92" i="59"/>
  <c r="AJ92" i="59"/>
  <c r="AI92" i="59"/>
  <c r="AA92" i="59"/>
  <c r="Z92" i="59"/>
  <c r="Y92" i="59"/>
  <c r="X92" i="59"/>
  <c r="W92" i="59"/>
  <c r="V92" i="59"/>
  <c r="AR92" i="59" s="1"/>
  <c r="U92" i="59"/>
  <c r="T92" i="59"/>
  <c r="S92" i="59"/>
  <c r="R92" i="59"/>
  <c r="Q92" i="59"/>
  <c r="P92" i="59"/>
  <c r="O92" i="59"/>
  <c r="N92" i="59"/>
  <c r="M92" i="59"/>
  <c r="L92" i="59"/>
  <c r="K92" i="59"/>
  <c r="J92" i="59"/>
  <c r="I92" i="59"/>
  <c r="H92" i="59"/>
  <c r="G92" i="59"/>
  <c r="F92" i="59"/>
  <c r="AD92" i="59" s="1"/>
  <c r="AO92" i="59" s="1"/>
  <c r="E92" i="59"/>
  <c r="D92" i="59"/>
  <c r="B92" i="59"/>
  <c r="AL91" i="59"/>
  <c r="AK91" i="59"/>
  <c r="AJ91" i="59"/>
  <c r="AI91" i="59"/>
  <c r="AD91" i="59"/>
  <c r="AO91" i="59" s="1"/>
  <c r="AA91" i="59"/>
  <c r="Z91" i="59"/>
  <c r="Y91" i="59"/>
  <c r="X91" i="59"/>
  <c r="W91" i="59"/>
  <c r="V91" i="59"/>
  <c r="U91" i="59"/>
  <c r="T91" i="59"/>
  <c r="S91" i="59"/>
  <c r="R91" i="59"/>
  <c r="Q91" i="59"/>
  <c r="P91" i="59"/>
  <c r="O91" i="59"/>
  <c r="N91" i="59"/>
  <c r="M91" i="59"/>
  <c r="L91" i="59"/>
  <c r="AC91" i="59" s="1"/>
  <c r="K91" i="59"/>
  <c r="J91" i="59"/>
  <c r="I91" i="59"/>
  <c r="H91" i="59"/>
  <c r="G91" i="59"/>
  <c r="F91" i="59"/>
  <c r="E91" i="59"/>
  <c r="D91" i="59"/>
  <c r="AB91" i="59" s="1"/>
  <c r="AF91" i="59" s="1"/>
  <c r="AM91" i="59" s="1"/>
  <c r="B91" i="59"/>
  <c r="AL90" i="59"/>
  <c r="AK90" i="59"/>
  <c r="AJ90" i="59"/>
  <c r="AI90" i="59"/>
  <c r="AA90" i="59"/>
  <c r="Z90" i="59"/>
  <c r="Y90" i="59"/>
  <c r="X90" i="59"/>
  <c r="W90" i="59"/>
  <c r="V90" i="59"/>
  <c r="U90" i="59"/>
  <c r="T90" i="59"/>
  <c r="S90" i="59"/>
  <c r="R90" i="59"/>
  <c r="Q90" i="59"/>
  <c r="P90" i="59"/>
  <c r="O90" i="59"/>
  <c r="N90" i="59"/>
  <c r="M90" i="59"/>
  <c r="L90" i="59"/>
  <c r="K90" i="59"/>
  <c r="J90" i="59"/>
  <c r="I90" i="59"/>
  <c r="H90" i="59"/>
  <c r="G90" i="59"/>
  <c r="F90" i="59"/>
  <c r="AD90" i="59" s="1"/>
  <c r="AO90" i="59" s="1"/>
  <c r="E90" i="59"/>
  <c r="D90" i="59"/>
  <c r="C90" i="59"/>
  <c r="B90" i="59"/>
  <c r="AL89" i="59"/>
  <c r="AK89" i="59"/>
  <c r="AJ89" i="59"/>
  <c r="AI89" i="59"/>
  <c r="AA89" i="59"/>
  <c r="Z89" i="59"/>
  <c r="Y89" i="59"/>
  <c r="X89" i="59"/>
  <c r="W89" i="59"/>
  <c r="V89" i="59"/>
  <c r="U89" i="59"/>
  <c r="T89" i="59"/>
  <c r="S89" i="59"/>
  <c r="R89" i="59"/>
  <c r="Q89" i="59"/>
  <c r="P89" i="59"/>
  <c r="O89" i="59"/>
  <c r="N89" i="59"/>
  <c r="M89" i="59"/>
  <c r="L89" i="59"/>
  <c r="K89" i="59"/>
  <c r="J89" i="59"/>
  <c r="I89" i="59"/>
  <c r="H89" i="59"/>
  <c r="G89" i="59"/>
  <c r="F89" i="59"/>
  <c r="AD89" i="59" s="1"/>
  <c r="AO89" i="59" s="1"/>
  <c r="E89" i="59"/>
  <c r="D89" i="59"/>
  <c r="B89" i="59"/>
  <c r="AL88" i="59"/>
  <c r="AK88" i="59"/>
  <c r="AJ88" i="59"/>
  <c r="AI88" i="59"/>
  <c r="AA88" i="59"/>
  <c r="Z88" i="59"/>
  <c r="Y88" i="59"/>
  <c r="X88" i="59"/>
  <c r="W88" i="59"/>
  <c r="V88" i="59"/>
  <c r="U88" i="59"/>
  <c r="T88" i="59"/>
  <c r="S88" i="59"/>
  <c r="R88" i="59"/>
  <c r="Q88" i="59"/>
  <c r="P88" i="59"/>
  <c r="O88" i="59"/>
  <c r="N88" i="59"/>
  <c r="M88" i="59"/>
  <c r="L88" i="59"/>
  <c r="K88" i="59"/>
  <c r="J88" i="59"/>
  <c r="I88" i="59"/>
  <c r="H88" i="59"/>
  <c r="G88" i="59"/>
  <c r="F88" i="59"/>
  <c r="AD88" i="59" s="1"/>
  <c r="AO88" i="59" s="1"/>
  <c r="E88" i="59"/>
  <c r="D88" i="59"/>
  <c r="B88" i="59"/>
  <c r="AL87" i="59"/>
  <c r="AK87" i="59"/>
  <c r="AJ87" i="59"/>
  <c r="AI87" i="59"/>
  <c r="AA87" i="59"/>
  <c r="Z87" i="59"/>
  <c r="Y87" i="59"/>
  <c r="X87" i="59"/>
  <c r="W87" i="59"/>
  <c r="V87" i="59"/>
  <c r="U87" i="59"/>
  <c r="T87" i="59"/>
  <c r="S87" i="59"/>
  <c r="R87" i="59"/>
  <c r="Q87" i="59"/>
  <c r="P87" i="59"/>
  <c r="O87" i="59"/>
  <c r="N87" i="59"/>
  <c r="M87" i="59"/>
  <c r="L87" i="59"/>
  <c r="K87" i="59"/>
  <c r="J87" i="59"/>
  <c r="I87" i="59"/>
  <c r="H87" i="59"/>
  <c r="G87" i="59"/>
  <c r="F87" i="59"/>
  <c r="AD87" i="59" s="1"/>
  <c r="AO87" i="59" s="1"/>
  <c r="E87" i="59"/>
  <c r="D87" i="59"/>
  <c r="B87" i="59"/>
  <c r="AO86" i="59"/>
  <c r="AL86" i="59"/>
  <c r="AK86" i="59"/>
  <c r="AJ86" i="59"/>
  <c r="AI86" i="59"/>
  <c r="AA86" i="59"/>
  <c r="Z86" i="59"/>
  <c r="Y86" i="59"/>
  <c r="X86" i="59"/>
  <c r="W86" i="59"/>
  <c r="V86" i="59"/>
  <c r="U86" i="59"/>
  <c r="T86" i="59"/>
  <c r="S86" i="59"/>
  <c r="R86" i="59"/>
  <c r="Q86" i="59"/>
  <c r="P86" i="59"/>
  <c r="O86" i="59"/>
  <c r="N86" i="59"/>
  <c r="M86" i="59"/>
  <c r="L86" i="59"/>
  <c r="K86" i="59"/>
  <c r="J86" i="59"/>
  <c r="I86" i="59"/>
  <c r="H86" i="59"/>
  <c r="G86" i="59"/>
  <c r="F86" i="59"/>
  <c r="AD86" i="59" s="1"/>
  <c r="E86" i="59"/>
  <c r="D86" i="59"/>
  <c r="B86" i="59"/>
  <c r="AN85" i="59"/>
  <c r="AM85" i="59"/>
  <c r="AL85" i="59"/>
  <c r="AK85" i="59"/>
  <c r="AJ85" i="59"/>
  <c r="AI85" i="59"/>
  <c r="AH85" i="59"/>
  <c r="AA85" i="59"/>
  <c r="Z85" i="59"/>
  <c r="Y85" i="59"/>
  <c r="X85" i="59"/>
  <c r="W85" i="59"/>
  <c r="V85" i="59"/>
  <c r="U85" i="59"/>
  <c r="T85" i="59"/>
  <c r="S85" i="59"/>
  <c r="R85" i="59"/>
  <c r="Q85" i="59"/>
  <c r="P85" i="59"/>
  <c r="O85" i="59"/>
  <c r="N85" i="59"/>
  <c r="M85" i="59"/>
  <c r="L85" i="59"/>
  <c r="K85" i="59"/>
  <c r="J85" i="59"/>
  <c r="I85" i="59"/>
  <c r="H85" i="59"/>
  <c r="G85" i="59"/>
  <c r="F85" i="59"/>
  <c r="AD85" i="59" s="1"/>
  <c r="AO85" i="59" s="1"/>
  <c r="E85" i="59"/>
  <c r="D85" i="59"/>
  <c r="B85" i="59"/>
  <c r="AL84" i="59"/>
  <c r="AK84" i="59"/>
  <c r="AJ84" i="59"/>
  <c r="AI84" i="59"/>
  <c r="AA84" i="59"/>
  <c r="Z84" i="59"/>
  <c r="Y84" i="59"/>
  <c r="X84" i="59"/>
  <c r="W84" i="59"/>
  <c r="V84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AD84" i="59" s="1"/>
  <c r="AO84" i="59" s="1"/>
  <c r="E84" i="59"/>
  <c r="AC84" i="59" s="1"/>
  <c r="AG84" i="59" s="1"/>
  <c r="AN84" i="59" s="1"/>
  <c r="D84" i="59"/>
  <c r="B84" i="59"/>
  <c r="AL83" i="59"/>
  <c r="AK83" i="59"/>
  <c r="AJ83" i="59"/>
  <c r="AI83" i="59"/>
  <c r="AA83" i="59"/>
  <c r="Z83" i="59"/>
  <c r="Y83" i="59"/>
  <c r="X83" i="59"/>
  <c r="W83" i="59"/>
  <c r="V83" i="59"/>
  <c r="U83" i="59"/>
  <c r="T83" i="59"/>
  <c r="S83" i="59"/>
  <c r="R83" i="59"/>
  <c r="Q83" i="59"/>
  <c r="P83" i="59"/>
  <c r="O83" i="59"/>
  <c r="N83" i="59"/>
  <c r="M83" i="59"/>
  <c r="L83" i="59"/>
  <c r="K83" i="59"/>
  <c r="J83" i="59"/>
  <c r="I83" i="59"/>
  <c r="H83" i="59"/>
  <c r="G83" i="59"/>
  <c r="F83" i="59"/>
  <c r="AD83" i="59" s="1"/>
  <c r="AO83" i="59" s="1"/>
  <c r="E83" i="59"/>
  <c r="AC83" i="59" s="1"/>
  <c r="D83" i="59"/>
  <c r="B83" i="59"/>
  <c r="AL82" i="59"/>
  <c r="AK82" i="59"/>
  <c r="AJ82" i="59"/>
  <c r="AI82" i="59"/>
  <c r="AA82" i="59"/>
  <c r="Z82" i="59"/>
  <c r="Y82" i="59"/>
  <c r="X82" i="59"/>
  <c r="W82" i="59"/>
  <c r="V82" i="59"/>
  <c r="U82" i="59"/>
  <c r="T82" i="59"/>
  <c r="S82" i="59"/>
  <c r="R82" i="59"/>
  <c r="Q82" i="59"/>
  <c r="P82" i="59"/>
  <c r="O82" i="59"/>
  <c r="N82" i="59"/>
  <c r="M82" i="59"/>
  <c r="L82" i="59"/>
  <c r="K82" i="59"/>
  <c r="J82" i="59"/>
  <c r="I82" i="59"/>
  <c r="H82" i="59"/>
  <c r="G82" i="59"/>
  <c r="F82" i="59"/>
  <c r="AD82" i="59" s="1"/>
  <c r="AO82" i="59" s="1"/>
  <c r="E82" i="59"/>
  <c r="D82" i="59"/>
  <c r="B82" i="59"/>
  <c r="AL81" i="59"/>
  <c r="AK81" i="59"/>
  <c r="AJ81" i="59"/>
  <c r="AI81" i="59"/>
  <c r="AA81" i="59"/>
  <c r="Z81" i="59"/>
  <c r="Y81" i="59"/>
  <c r="X81" i="59"/>
  <c r="W81" i="59"/>
  <c r="V81" i="59"/>
  <c r="U81" i="59"/>
  <c r="T81" i="59"/>
  <c r="S81" i="59"/>
  <c r="R81" i="59"/>
  <c r="Q81" i="59"/>
  <c r="P81" i="59"/>
  <c r="O81" i="59"/>
  <c r="N81" i="59"/>
  <c r="M81" i="59"/>
  <c r="L81" i="59"/>
  <c r="K81" i="59"/>
  <c r="J81" i="59"/>
  <c r="I81" i="59"/>
  <c r="H81" i="59"/>
  <c r="G81" i="59"/>
  <c r="F81" i="59"/>
  <c r="AD81" i="59" s="1"/>
  <c r="AO81" i="59" s="1"/>
  <c r="E81" i="59"/>
  <c r="D81" i="59"/>
  <c r="B81" i="59"/>
  <c r="AL80" i="59"/>
  <c r="AK80" i="59"/>
  <c r="AJ80" i="59"/>
  <c r="AI80" i="59"/>
  <c r="AA80" i="59"/>
  <c r="Z80" i="59"/>
  <c r="Y80" i="59"/>
  <c r="X80" i="59"/>
  <c r="W80" i="59"/>
  <c r="V80" i="59"/>
  <c r="U80" i="59"/>
  <c r="T80" i="59"/>
  <c r="S80" i="59"/>
  <c r="R80" i="59"/>
  <c r="Q80" i="59"/>
  <c r="P80" i="59"/>
  <c r="O80" i="59"/>
  <c r="N80" i="59"/>
  <c r="M80" i="59"/>
  <c r="L80" i="59"/>
  <c r="K80" i="59"/>
  <c r="J80" i="59"/>
  <c r="I80" i="59"/>
  <c r="H80" i="59"/>
  <c r="G80" i="59"/>
  <c r="F80" i="59"/>
  <c r="AD80" i="59" s="1"/>
  <c r="AO80" i="59" s="1"/>
  <c r="E80" i="59"/>
  <c r="D80" i="59"/>
  <c r="B80" i="59"/>
  <c r="AL79" i="59"/>
  <c r="AK79" i="59"/>
  <c r="AJ79" i="59"/>
  <c r="AI79" i="59"/>
  <c r="AA79" i="59"/>
  <c r="Z79" i="59"/>
  <c r="Y79" i="59"/>
  <c r="X79" i="59"/>
  <c r="W79" i="59"/>
  <c r="V79" i="59"/>
  <c r="AR79" i="59" s="1"/>
  <c r="U79" i="59"/>
  <c r="T79" i="59"/>
  <c r="S79" i="59"/>
  <c r="R79" i="59"/>
  <c r="Q79" i="59"/>
  <c r="P79" i="59"/>
  <c r="O79" i="59"/>
  <c r="N79" i="59"/>
  <c r="M79" i="59"/>
  <c r="L79" i="59"/>
  <c r="K79" i="59"/>
  <c r="J79" i="59"/>
  <c r="I79" i="59"/>
  <c r="H79" i="59"/>
  <c r="G79" i="59"/>
  <c r="F79" i="59"/>
  <c r="AD79" i="59" s="1"/>
  <c r="AO79" i="59" s="1"/>
  <c r="E79" i="59"/>
  <c r="D79" i="59"/>
  <c r="B79" i="59"/>
  <c r="AL78" i="59"/>
  <c r="AK78" i="59"/>
  <c r="AJ78" i="59"/>
  <c r="AI78" i="59"/>
  <c r="AA78" i="59"/>
  <c r="Z78" i="59"/>
  <c r="Y78" i="59"/>
  <c r="X78" i="59"/>
  <c r="W78" i="59"/>
  <c r="V78" i="59"/>
  <c r="AR78" i="59" s="1"/>
  <c r="U78" i="59"/>
  <c r="T78" i="59"/>
  <c r="S78" i="59"/>
  <c r="R78" i="59"/>
  <c r="Q78" i="59"/>
  <c r="P78" i="59"/>
  <c r="O78" i="59"/>
  <c r="N78" i="59"/>
  <c r="M78" i="59"/>
  <c r="L78" i="59"/>
  <c r="K78" i="59"/>
  <c r="J78" i="59"/>
  <c r="I78" i="59"/>
  <c r="H78" i="59"/>
  <c r="G78" i="59"/>
  <c r="F78" i="59"/>
  <c r="AD78" i="59" s="1"/>
  <c r="AO78" i="59" s="1"/>
  <c r="E78" i="59"/>
  <c r="D78" i="59"/>
  <c r="B78" i="59"/>
  <c r="AL77" i="59"/>
  <c r="AK77" i="59"/>
  <c r="AJ77" i="59"/>
  <c r="AI77" i="59"/>
  <c r="AA77" i="59"/>
  <c r="Z77" i="59"/>
  <c r="Y77" i="59"/>
  <c r="X77" i="59"/>
  <c r="W77" i="59"/>
  <c r="V77" i="59"/>
  <c r="U77" i="59"/>
  <c r="T77" i="59"/>
  <c r="S77" i="59"/>
  <c r="R77" i="59"/>
  <c r="Q77" i="59"/>
  <c r="P77" i="59"/>
  <c r="O77" i="59"/>
  <c r="N77" i="59"/>
  <c r="M77" i="59"/>
  <c r="L77" i="59"/>
  <c r="K77" i="59"/>
  <c r="J77" i="59"/>
  <c r="I77" i="59"/>
  <c r="H77" i="59"/>
  <c r="G77" i="59"/>
  <c r="F77" i="59"/>
  <c r="AD77" i="59" s="1"/>
  <c r="AO77" i="59" s="1"/>
  <c r="E77" i="59"/>
  <c r="D77" i="59"/>
  <c r="B77" i="59"/>
  <c r="AL76" i="59"/>
  <c r="AK76" i="59"/>
  <c r="AJ76" i="59"/>
  <c r="AI76" i="59"/>
  <c r="AA76" i="59"/>
  <c r="Z76" i="59"/>
  <c r="Y76" i="59"/>
  <c r="X76" i="59"/>
  <c r="W76" i="59"/>
  <c r="V76" i="59"/>
  <c r="U76" i="59"/>
  <c r="T76" i="59"/>
  <c r="S76" i="59"/>
  <c r="R76" i="59"/>
  <c r="Q76" i="59"/>
  <c r="P76" i="59"/>
  <c r="O76" i="59"/>
  <c r="N76" i="59"/>
  <c r="AC76" i="59" s="1"/>
  <c r="M76" i="59"/>
  <c r="L76" i="59"/>
  <c r="K76" i="59"/>
  <c r="J76" i="59"/>
  <c r="I76" i="59"/>
  <c r="H76" i="59"/>
  <c r="G76" i="59"/>
  <c r="F76" i="59"/>
  <c r="AD76" i="59" s="1"/>
  <c r="AO76" i="59" s="1"/>
  <c r="E76" i="59"/>
  <c r="D76" i="59"/>
  <c r="B76" i="59"/>
  <c r="AL75" i="59"/>
  <c r="AK75" i="59"/>
  <c r="AJ75" i="59"/>
  <c r="AI75" i="59"/>
  <c r="AA75" i="59"/>
  <c r="Z75" i="59"/>
  <c r="Y75" i="59"/>
  <c r="X75" i="59"/>
  <c r="W75" i="59"/>
  <c r="V75" i="59"/>
  <c r="U75" i="59"/>
  <c r="T75" i="59"/>
  <c r="S75" i="59"/>
  <c r="R75" i="59"/>
  <c r="Q75" i="59"/>
  <c r="P75" i="59"/>
  <c r="O75" i="59"/>
  <c r="N75" i="59"/>
  <c r="M75" i="59"/>
  <c r="L75" i="59"/>
  <c r="K75" i="59"/>
  <c r="J75" i="59"/>
  <c r="I75" i="59"/>
  <c r="H75" i="59"/>
  <c r="G75" i="59"/>
  <c r="F75" i="59"/>
  <c r="AD75" i="59" s="1"/>
  <c r="AO75" i="59" s="1"/>
  <c r="E75" i="59"/>
  <c r="D75" i="59"/>
  <c r="B75" i="59"/>
  <c r="AN74" i="59"/>
  <c r="AL74" i="59"/>
  <c r="AK74" i="59"/>
  <c r="AJ74" i="59"/>
  <c r="AI74" i="59"/>
  <c r="AM74" i="59" s="1"/>
  <c r="AP74" i="59" s="1"/>
  <c r="AH74" i="59"/>
  <c r="AA74" i="59"/>
  <c r="Z74" i="59"/>
  <c r="Y74" i="59"/>
  <c r="X74" i="59"/>
  <c r="W74" i="59"/>
  <c r="V74" i="59"/>
  <c r="U74" i="59"/>
  <c r="T74" i="59"/>
  <c r="S74" i="59"/>
  <c r="R74" i="59"/>
  <c r="Q74" i="59"/>
  <c r="P74" i="59"/>
  <c r="O74" i="59"/>
  <c r="N74" i="59"/>
  <c r="M74" i="59"/>
  <c r="L74" i="59"/>
  <c r="K74" i="59"/>
  <c r="J74" i="59"/>
  <c r="I74" i="59"/>
  <c r="H74" i="59"/>
  <c r="G74" i="59"/>
  <c r="F74" i="59"/>
  <c r="AD74" i="59" s="1"/>
  <c r="AO74" i="59" s="1"/>
  <c r="E74" i="59"/>
  <c r="D74" i="59"/>
  <c r="AL73" i="59"/>
  <c r="AK73" i="59"/>
  <c r="AJ73" i="59"/>
  <c r="AI73" i="59"/>
  <c r="AA73" i="59"/>
  <c r="Z73" i="59"/>
  <c r="Y73" i="59"/>
  <c r="X73" i="59"/>
  <c r="W73" i="59"/>
  <c r="V73" i="59"/>
  <c r="U73" i="59"/>
  <c r="T73" i="59"/>
  <c r="AC73" i="59" s="1"/>
  <c r="AG73" i="59" s="1"/>
  <c r="AN73" i="59" s="1"/>
  <c r="S73" i="59"/>
  <c r="R73" i="59"/>
  <c r="Q73" i="59"/>
  <c r="P73" i="59"/>
  <c r="O73" i="59"/>
  <c r="N73" i="59"/>
  <c r="M73" i="59"/>
  <c r="L73" i="59"/>
  <c r="K73" i="59"/>
  <c r="J73" i="59"/>
  <c r="I73" i="59"/>
  <c r="H73" i="59"/>
  <c r="G73" i="59"/>
  <c r="F73" i="59"/>
  <c r="AD73" i="59" s="1"/>
  <c r="AO73" i="59" s="1"/>
  <c r="E73" i="59"/>
  <c r="D73" i="59"/>
  <c r="B73" i="59"/>
  <c r="AL72" i="59"/>
  <c r="AK72" i="59"/>
  <c r="AJ72" i="59"/>
  <c r="AI72" i="59"/>
  <c r="AA72" i="59"/>
  <c r="Z72" i="59"/>
  <c r="Y72" i="59"/>
  <c r="X72" i="59"/>
  <c r="W72" i="59"/>
  <c r="V72" i="59"/>
  <c r="U72" i="59"/>
  <c r="T72" i="59"/>
  <c r="S72" i="59"/>
  <c r="R72" i="59"/>
  <c r="Q72" i="59"/>
  <c r="P72" i="59"/>
  <c r="O72" i="59"/>
  <c r="N72" i="59"/>
  <c r="M72" i="59"/>
  <c r="L72" i="59"/>
  <c r="K72" i="59"/>
  <c r="J72" i="59"/>
  <c r="I72" i="59"/>
  <c r="H72" i="59"/>
  <c r="G72" i="59"/>
  <c r="F72" i="59"/>
  <c r="AD72" i="59" s="1"/>
  <c r="AO72" i="59" s="1"/>
  <c r="E72" i="59"/>
  <c r="D72" i="59"/>
  <c r="B72" i="59"/>
  <c r="AL71" i="59"/>
  <c r="AK71" i="59"/>
  <c r="AJ71" i="59"/>
  <c r="AI71" i="59"/>
  <c r="AA71" i="59"/>
  <c r="Z71" i="59"/>
  <c r="Y71" i="59"/>
  <c r="X71" i="59"/>
  <c r="W71" i="59"/>
  <c r="V71" i="59"/>
  <c r="U71" i="59"/>
  <c r="T71" i="59"/>
  <c r="S71" i="59"/>
  <c r="R71" i="59"/>
  <c r="Q71" i="59"/>
  <c r="P71" i="59"/>
  <c r="O71" i="59"/>
  <c r="N71" i="59"/>
  <c r="M71" i="59"/>
  <c r="L71" i="59"/>
  <c r="K71" i="59"/>
  <c r="J71" i="59"/>
  <c r="I71" i="59"/>
  <c r="H71" i="59"/>
  <c r="G71" i="59"/>
  <c r="F71" i="59"/>
  <c r="AD71" i="59" s="1"/>
  <c r="AO71" i="59" s="1"/>
  <c r="E71" i="59"/>
  <c r="D71" i="59"/>
  <c r="B71" i="59"/>
  <c r="AQ70" i="59"/>
  <c r="AL70" i="59"/>
  <c r="AK70" i="59"/>
  <c r="AJ70" i="59"/>
  <c r="AI70" i="59"/>
  <c r="AD70" i="59"/>
  <c r="AO70" i="59" s="1"/>
  <c r="AA70" i="59"/>
  <c r="Z70" i="59"/>
  <c r="Y70" i="59"/>
  <c r="X70" i="59"/>
  <c r="W70" i="59"/>
  <c r="V70" i="59"/>
  <c r="U70" i="59"/>
  <c r="T70" i="59"/>
  <c r="S70" i="59"/>
  <c r="R70" i="59"/>
  <c r="Q70" i="59"/>
  <c r="P70" i="59"/>
  <c r="O70" i="59"/>
  <c r="N70" i="59"/>
  <c r="M70" i="59"/>
  <c r="L70" i="59"/>
  <c r="K70" i="59"/>
  <c r="J70" i="59"/>
  <c r="I70" i="59"/>
  <c r="H70" i="59"/>
  <c r="G70" i="59"/>
  <c r="F70" i="59"/>
  <c r="E70" i="59"/>
  <c r="D70" i="59"/>
  <c r="B70" i="59"/>
  <c r="AL69" i="59"/>
  <c r="AK69" i="59"/>
  <c r="AJ69" i="59"/>
  <c r="AI69" i="59"/>
  <c r="AA69" i="59"/>
  <c r="Z69" i="59"/>
  <c r="Y69" i="59"/>
  <c r="X69" i="59"/>
  <c r="W69" i="59"/>
  <c r="V69" i="59"/>
  <c r="U69" i="59"/>
  <c r="T69" i="59"/>
  <c r="S69" i="59"/>
  <c r="R69" i="59"/>
  <c r="Q69" i="59"/>
  <c r="P69" i="59"/>
  <c r="O69" i="59"/>
  <c r="N69" i="59"/>
  <c r="M69" i="59"/>
  <c r="L69" i="59"/>
  <c r="K69" i="59"/>
  <c r="J69" i="59"/>
  <c r="I69" i="59"/>
  <c r="H69" i="59"/>
  <c r="G69" i="59"/>
  <c r="F69" i="59"/>
  <c r="AD69" i="59" s="1"/>
  <c r="AO69" i="59" s="1"/>
  <c r="E69" i="59"/>
  <c r="D69" i="59"/>
  <c r="B69" i="59"/>
  <c r="AL68" i="59"/>
  <c r="AK68" i="59"/>
  <c r="AJ68" i="59"/>
  <c r="AI68" i="59"/>
  <c r="AA68" i="59"/>
  <c r="Z68" i="59"/>
  <c r="Y68" i="59"/>
  <c r="X68" i="59"/>
  <c r="W68" i="59"/>
  <c r="V68" i="59"/>
  <c r="U68" i="59"/>
  <c r="T68" i="59"/>
  <c r="S68" i="59"/>
  <c r="R68" i="59"/>
  <c r="Q68" i="59"/>
  <c r="P68" i="59"/>
  <c r="O68" i="59"/>
  <c r="N68" i="59"/>
  <c r="M68" i="59"/>
  <c r="L68" i="59"/>
  <c r="K68" i="59"/>
  <c r="J68" i="59"/>
  <c r="I68" i="59"/>
  <c r="H68" i="59"/>
  <c r="G68" i="59"/>
  <c r="F68" i="59"/>
  <c r="AD68" i="59" s="1"/>
  <c r="AO68" i="59" s="1"/>
  <c r="E68" i="59"/>
  <c r="D68" i="59"/>
  <c r="B68" i="59"/>
  <c r="AL67" i="59"/>
  <c r="AK67" i="59"/>
  <c r="AJ67" i="59"/>
  <c r="AI67" i="59"/>
  <c r="AA67" i="59"/>
  <c r="Z67" i="59"/>
  <c r="Y67" i="59"/>
  <c r="X67" i="59"/>
  <c r="W67" i="59"/>
  <c r="V67" i="59"/>
  <c r="U67" i="59"/>
  <c r="T67" i="59"/>
  <c r="S67" i="59"/>
  <c r="R67" i="59"/>
  <c r="Q67" i="59"/>
  <c r="P67" i="59"/>
  <c r="O67" i="59"/>
  <c r="N67" i="59"/>
  <c r="M67" i="59"/>
  <c r="L67" i="59"/>
  <c r="K67" i="59"/>
  <c r="J67" i="59"/>
  <c r="I67" i="59"/>
  <c r="H67" i="59"/>
  <c r="G67" i="59"/>
  <c r="F67" i="59"/>
  <c r="AD67" i="59" s="1"/>
  <c r="AO67" i="59" s="1"/>
  <c r="E67" i="59"/>
  <c r="D67" i="59"/>
  <c r="B67" i="59"/>
  <c r="AL66" i="59"/>
  <c r="AK66" i="59"/>
  <c r="AJ66" i="59"/>
  <c r="AI66" i="59"/>
  <c r="AA66" i="59"/>
  <c r="Z66" i="59"/>
  <c r="Y66" i="59"/>
  <c r="X66" i="59"/>
  <c r="W66" i="59"/>
  <c r="V66" i="59"/>
  <c r="U66" i="59"/>
  <c r="T66" i="59"/>
  <c r="S66" i="59"/>
  <c r="R66" i="59"/>
  <c r="Q66" i="59"/>
  <c r="P66" i="59"/>
  <c r="O66" i="59"/>
  <c r="N66" i="59"/>
  <c r="M66" i="59"/>
  <c r="L66" i="59"/>
  <c r="K66" i="59"/>
  <c r="J66" i="59"/>
  <c r="I66" i="59"/>
  <c r="H66" i="59"/>
  <c r="G66" i="59"/>
  <c r="F66" i="59"/>
  <c r="AD66" i="59" s="1"/>
  <c r="AO66" i="59" s="1"/>
  <c r="E66" i="59"/>
  <c r="D66" i="59"/>
  <c r="B66" i="59"/>
  <c r="AL65" i="59"/>
  <c r="AK65" i="59"/>
  <c r="AJ65" i="59"/>
  <c r="AI65" i="59"/>
  <c r="AA65" i="59"/>
  <c r="Z65" i="59"/>
  <c r="Y65" i="59"/>
  <c r="X65" i="59"/>
  <c r="W65" i="59"/>
  <c r="V65" i="59"/>
  <c r="U65" i="59"/>
  <c r="T65" i="59"/>
  <c r="S65" i="59"/>
  <c r="R65" i="59"/>
  <c r="Q65" i="59"/>
  <c r="P65" i="59"/>
  <c r="O65" i="59"/>
  <c r="N65" i="59"/>
  <c r="M65" i="59"/>
  <c r="L65" i="59"/>
  <c r="K65" i="59"/>
  <c r="J65" i="59"/>
  <c r="I65" i="59"/>
  <c r="H65" i="59"/>
  <c r="G65" i="59"/>
  <c r="F65" i="59"/>
  <c r="AD65" i="59" s="1"/>
  <c r="AO65" i="59" s="1"/>
  <c r="E65" i="59"/>
  <c r="AC65" i="59" s="1"/>
  <c r="AG65" i="59" s="1"/>
  <c r="AN65" i="59" s="1"/>
  <c r="D65" i="59"/>
  <c r="B65" i="59"/>
  <c r="AL64" i="59"/>
  <c r="AK64" i="59"/>
  <c r="AJ64" i="59"/>
  <c r="AI64" i="59"/>
  <c r="AA64" i="59"/>
  <c r="Z64" i="59"/>
  <c r="Y64" i="59"/>
  <c r="X64" i="59"/>
  <c r="W64" i="59"/>
  <c r="V64" i="59"/>
  <c r="U64" i="59"/>
  <c r="T64" i="59"/>
  <c r="S64" i="59"/>
  <c r="R64" i="59"/>
  <c r="Q64" i="59"/>
  <c r="P64" i="59"/>
  <c r="O64" i="59"/>
  <c r="N64" i="59"/>
  <c r="M64" i="59"/>
  <c r="L64" i="59"/>
  <c r="K64" i="59"/>
  <c r="J64" i="59"/>
  <c r="I64" i="59"/>
  <c r="H64" i="59"/>
  <c r="G64" i="59"/>
  <c r="F64" i="59"/>
  <c r="AD64" i="59" s="1"/>
  <c r="AO64" i="59" s="1"/>
  <c r="E64" i="59"/>
  <c r="D64" i="59"/>
  <c r="B64" i="59"/>
  <c r="AL63" i="59"/>
  <c r="AK63" i="59"/>
  <c r="AJ63" i="59"/>
  <c r="AI63" i="59"/>
  <c r="AD63" i="59"/>
  <c r="AO63" i="59" s="1"/>
  <c r="AA63" i="59"/>
  <c r="Z63" i="59"/>
  <c r="Y63" i="59"/>
  <c r="X63" i="59"/>
  <c r="W63" i="59"/>
  <c r="V63" i="59"/>
  <c r="U63" i="59"/>
  <c r="T63" i="59"/>
  <c r="S63" i="59"/>
  <c r="R63" i="59"/>
  <c r="Q63" i="59"/>
  <c r="P63" i="59"/>
  <c r="O63" i="59"/>
  <c r="N63" i="59"/>
  <c r="M63" i="59"/>
  <c r="L63" i="59"/>
  <c r="K63" i="59"/>
  <c r="J63" i="59"/>
  <c r="I63" i="59"/>
  <c r="H63" i="59"/>
  <c r="G63" i="59"/>
  <c r="F63" i="59"/>
  <c r="E63" i="59"/>
  <c r="AC63" i="59" s="1"/>
  <c r="D63" i="59"/>
  <c r="B63" i="59"/>
  <c r="AL62" i="59"/>
  <c r="AK62" i="59"/>
  <c r="AJ62" i="59"/>
  <c r="AI62" i="59"/>
  <c r="AA62" i="59"/>
  <c r="Z62" i="59"/>
  <c r="Y62" i="59"/>
  <c r="X62" i="59"/>
  <c r="W62" i="59"/>
  <c r="V62" i="59"/>
  <c r="U62" i="59"/>
  <c r="T62" i="59"/>
  <c r="S62" i="59"/>
  <c r="R62" i="59"/>
  <c r="Q62" i="59"/>
  <c r="P62" i="59"/>
  <c r="O62" i="59"/>
  <c r="N62" i="59"/>
  <c r="M62" i="59"/>
  <c r="L62" i="59"/>
  <c r="K62" i="59"/>
  <c r="J62" i="59"/>
  <c r="I62" i="59"/>
  <c r="H62" i="59"/>
  <c r="G62" i="59"/>
  <c r="F62" i="59"/>
  <c r="AD62" i="59" s="1"/>
  <c r="AO62" i="59" s="1"/>
  <c r="E62" i="59"/>
  <c r="D62" i="59"/>
  <c r="B62" i="59"/>
  <c r="AO61" i="59"/>
  <c r="AL61" i="59"/>
  <c r="AK61" i="59"/>
  <c r="AJ61" i="59"/>
  <c r="AI61" i="59"/>
  <c r="AD61" i="59"/>
  <c r="AA61" i="59"/>
  <c r="Z61" i="59"/>
  <c r="Y61" i="59"/>
  <c r="X61" i="59"/>
  <c r="W61" i="59"/>
  <c r="V61" i="59"/>
  <c r="U61" i="59"/>
  <c r="T61" i="59"/>
  <c r="S61" i="59"/>
  <c r="R61" i="59"/>
  <c r="Q61" i="59"/>
  <c r="P61" i="59"/>
  <c r="O61" i="59"/>
  <c r="N61" i="59"/>
  <c r="M61" i="59"/>
  <c r="L61" i="59"/>
  <c r="K61" i="59"/>
  <c r="J61" i="59"/>
  <c r="AC61" i="59" s="1"/>
  <c r="I61" i="59"/>
  <c r="H61" i="59"/>
  <c r="G61" i="59"/>
  <c r="F61" i="59"/>
  <c r="E61" i="59"/>
  <c r="D61" i="59"/>
  <c r="B61" i="59"/>
  <c r="AL60" i="59"/>
  <c r="AK60" i="59"/>
  <c r="AJ60" i="59"/>
  <c r="AI60" i="59"/>
  <c r="AA60" i="59"/>
  <c r="Z60" i="59"/>
  <c r="Y60" i="59"/>
  <c r="X60" i="59"/>
  <c r="W60" i="59"/>
  <c r="V60" i="59"/>
  <c r="U60" i="59"/>
  <c r="T60" i="59"/>
  <c r="S60" i="59"/>
  <c r="R60" i="59"/>
  <c r="Q60" i="59"/>
  <c r="P60" i="59"/>
  <c r="O60" i="59"/>
  <c r="N60" i="59"/>
  <c r="M60" i="59"/>
  <c r="L60" i="59"/>
  <c r="K60" i="59"/>
  <c r="J60" i="59"/>
  <c r="I60" i="59"/>
  <c r="H60" i="59"/>
  <c r="G60" i="59"/>
  <c r="F60" i="59"/>
  <c r="AD60" i="59" s="1"/>
  <c r="AO60" i="59" s="1"/>
  <c r="E60" i="59"/>
  <c r="D60" i="59"/>
  <c r="B60" i="59"/>
  <c r="AL59" i="59"/>
  <c r="AK59" i="59"/>
  <c r="AJ59" i="59"/>
  <c r="AI59" i="59"/>
  <c r="AA59" i="59"/>
  <c r="Z59" i="59"/>
  <c r="Y59" i="59"/>
  <c r="X59" i="59"/>
  <c r="W59" i="59"/>
  <c r="V59" i="59"/>
  <c r="U59" i="59"/>
  <c r="T59" i="59"/>
  <c r="S59" i="59"/>
  <c r="R59" i="59"/>
  <c r="Q59" i="59"/>
  <c r="P59" i="59"/>
  <c r="O59" i="59"/>
  <c r="N59" i="59"/>
  <c r="M59" i="59"/>
  <c r="L59" i="59"/>
  <c r="K59" i="59"/>
  <c r="J59" i="59"/>
  <c r="I59" i="59"/>
  <c r="H59" i="59"/>
  <c r="G59" i="59"/>
  <c r="F59" i="59"/>
  <c r="AD59" i="59" s="1"/>
  <c r="AO59" i="59" s="1"/>
  <c r="E59" i="59"/>
  <c r="D59" i="59"/>
  <c r="B59" i="59"/>
  <c r="AL58" i="59"/>
  <c r="AK58" i="59"/>
  <c r="AJ58" i="59"/>
  <c r="AI58" i="59"/>
  <c r="AA58" i="59"/>
  <c r="Z58" i="59"/>
  <c r="Y58" i="59"/>
  <c r="X58" i="59"/>
  <c r="W58" i="59"/>
  <c r="V58" i="59"/>
  <c r="U58" i="59"/>
  <c r="T58" i="59"/>
  <c r="S58" i="59"/>
  <c r="R58" i="59"/>
  <c r="Q58" i="59"/>
  <c r="P58" i="59"/>
  <c r="O58" i="59"/>
  <c r="N58" i="59"/>
  <c r="M58" i="59"/>
  <c r="L58" i="59"/>
  <c r="K58" i="59"/>
  <c r="J58" i="59"/>
  <c r="I58" i="59"/>
  <c r="H58" i="59"/>
  <c r="G58" i="59"/>
  <c r="F58" i="59"/>
  <c r="AD58" i="59" s="1"/>
  <c r="AO58" i="59" s="1"/>
  <c r="E58" i="59"/>
  <c r="D58" i="59"/>
  <c r="B58" i="59"/>
  <c r="AL57" i="59"/>
  <c r="AK57" i="59"/>
  <c r="AJ57" i="59"/>
  <c r="AI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AD57" i="59" s="1"/>
  <c r="AO57" i="59" s="1"/>
  <c r="E57" i="59"/>
  <c r="D57" i="59"/>
  <c r="B57" i="59"/>
  <c r="AL56" i="59"/>
  <c r="AK56" i="59"/>
  <c r="AJ56" i="59"/>
  <c r="AI56" i="59"/>
  <c r="AA56" i="59"/>
  <c r="Z56" i="59"/>
  <c r="Y56" i="59"/>
  <c r="X56" i="59"/>
  <c r="W56" i="59"/>
  <c r="V56" i="59"/>
  <c r="AR56" i="59" s="1"/>
  <c r="U56" i="59"/>
  <c r="T56" i="59"/>
  <c r="S56" i="59"/>
  <c r="R56" i="59"/>
  <c r="Q56" i="59"/>
  <c r="P56" i="59"/>
  <c r="O56" i="59"/>
  <c r="N56" i="59"/>
  <c r="M56" i="59"/>
  <c r="L56" i="59"/>
  <c r="K56" i="59"/>
  <c r="J56" i="59"/>
  <c r="I56" i="59"/>
  <c r="H56" i="59"/>
  <c r="G56" i="59"/>
  <c r="F56" i="59"/>
  <c r="AD56" i="59" s="1"/>
  <c r="AO56" i="59" s="1"/>
  <c r="E56" i="59"/>
  <c r="D56" i="59"/>
  <c r="B56" i="59"/>
  <c r="AL55" i="59"/>
  <c r="AK55" i="59"/>
  <c r="AJ55" i="59"/>
  <c r="AI55" i="59"/>
  <c r="AA55" i="59"/>
  <c r="Z55" i="59"/>
  <c r="Y55" i="59"/>
  <c r="X55" i="59"/>
  <c r="W55" i="59"/>
  <c r="V55" i="59"/>
  <c r="U55" i="59"/>
  <c r="T55" i="59"/>
  <c r="S55" i="59"/>
  <c r="R55" i="59"/>
  <c r="Q55" i="59"/>
  <c r="P55" i="59"/>
  <c r="O55" i="59"/>
  <c r="N55" i="59"/>
  <c r="M55" i="59"/>
  <c r="L55" i="59"/>
  <c r="K55" i="59"/>
  <c r="J55" i="59"/>
  <c r="I55" i="59"/>
  <c r="H55" i="59"/>
  <c r="G55" i="59"/>
  <c r="F55" i="59"/>
  <c r="AD55" i="59" s="1"/>
  <c r="AO55" i="59" s="1"/>
  <c r="E55" i="59"/>
  <c r="D55" i="59"/>
  <c r="B55" i="59"/>
  <c r="AL54" i="59"/>
  <c r="AK54" i="59"/>
  <c r="AJ54" i="59"/>
  <c r="AI54" i="59"/>
  <c r="AA54" i="59"/>
  <c r="Z54" i="59"/>
  <c r="Y54" i="59"/>
  <c r="X54" i="59"/>
  <c r="W54" i="59"/>
  <c r="V54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AD54" i="59" s="1"/>
  <c r="AO54" i="59" s="1"/>
  <c r="E54" i="59"/>
  <c r="AC54" i="59" s="1"/>
  <c r="D54" i="59"/>
  <c r="B54" i="59"/>
  <c r="AL53" i="59"/>
  <c r="AK53" i="59"/>
  <c r="AJ53" i="59"/>
  <c r="AI53" i="59"/>
  <c r="AA53" i="59"/>
  <c r="Z53" i="59"/>
  <c r="Y53" i="59"/>
  <c r="X53" i="59"/>
  <c r="W53" i="59"/>
  <c r="V53" i="59"/>
  <c r="U53" i="59"/>
  <c r="T53" i="59"/>
  <c r="S53" i="59"/>
  <c r="R53" i="59"/>
  <c r="Q53" i="59"/>
  <c r="P53" i="59"/>
  <c r="O53" i="59"/>
  <c r="N53" i="59"/>
  <c r="M53" i="59"/>
  <c r="L53" i="59"/>
  <c r="K53" i="59"/>
  <c r="J53" i="59"/>
  <c r="I53" i="59"/>
  <c r="H53" i="59"/>
  <c r="G53" i="59"/>
  <c r="F53" i="59"/>
  <c r="AD53" i="59" s="1"/>
  <c r="AO53" i="59" s="1"/>
  <c r="E53" i="59"/>
  <c r="D53" i="59"/>
  <c r="B53" i="59"/>
  <c r="AL52" i="59"/>
  <c r="AK52" i="59"/>
  <c r="AJ52" i="59"/>
  <c r="AI52" i="59"/>
  <c r="AA52" i="59"/>
  <c r="Z52" i="59"/>
  <c r="Y52" i="59"/>
  <c r="X52" i="59"/>
  <c r="W52" i="59"/>
  <c r="V52" i="59"/>
  <c r="U52" i="59"/>
  <c r="T52" i="59"/>
  <c r="S52" i="59"/>
  <c r="R52" i="59"/>
  <c r="Q52" i="59"/>
  <c r="P52" i="59"/>
  <c r="O52" i="59"/>
  <c r="N52" i="59"/>
  <c r="M52" i="59"/>
  <c r="L52" i="59"/>
  <c r="K52" i="59"/>
  <c r="J52" i="59"/>
  <c r="I52" i="59"/>
  <c r="H52" i="59"/>
  <c r="G52" i="59"/>
  <c r="F52" i="59"/>
  <c r="AD52" i="59" s="1"/>
  <c r="AO52" i="59" s="1"/>
  <c r="E52" i="59"/>
  <c r="D52" i="59"/>
  <c r="B52" i="59"/>
  <c r="AL51" i="59"/>
  <c r="AK51" i="59"/>
  <c r="AJ51" i="59"/>
  <c r="AI51" i="59"/>
  <c r="AA51" i="59"/>
  <c r="Z51" i="59"/>
  <c r="Y51" i="59"/>
  <c r="X51" i="59"/>
  <c r="W51" i="59"/>
  <c r="V51" i="59"/>
  <c r="U51" i="59"/>
  <c r="T51" i="59"/>
  <c r="S51" i="59"/>
  <c r="R51" i="59"/>
  <c r="Q51" i="59"/>
  <c r="P51" i="59"/>
  <c r="O51" i="59"/>
  <c r="N51" i="59"/>
  <c r="M51" i="59"/>
  <c r="L51" i="59"/>
  <c r="K51" i="59"/>
  <c r="J51" i="59"/>
  <c r="I51" i="59"/>
  <c r="H51" i="59"/>
  <c r="G51" i="59"/>
  <c r="F51" i="59"/>
  <c r="AD51" i="59" s="1"/>
  <c r="AO51" i="59" s="1"/>
  <c r="E51" i="59"/>
  <c r="D51" i="59"/>
  <c r="AB51" i="59" s="1"/>
  <c r="B51" i="59"/>
  <c r="AL50" i="59"/>
  <c r="AK50" i="59"/>
  <c r="AJ50" i="59"/>
  <c r="AI50" i="59"/>
  <c r="AD50" i="59"/>
  <c r="AO50" i="59" s="1"/>
  <c r="AA50" i="59"/>
  <c r="Z50" i="59"/>
  <c r="Y50" i="59"/>
  <c r="X50" i="59"/>
  <c r="W50" i="59"/>
  <c r="V50" i="59"/>
  <c r="U50" i="59"/>
  <c r="T50" i="59"/>
  <c r="S50" i="59"/>
  <c r="R50" i="59"/>
  <c r="Q50" i="59"/>
  <c r="P50" i="59"/>
  <c r="O50" i="59"/>
  <c r="N50" i="59"/>
  <c r="M50" i="59"/>
  <c r="L50" i="59"/>
  <c r="K50" i="59"/>
  <c r="J50" i="59"/>
  <c r="I50" i="59"/>
  <c r="H50" i="59"/>
  <c r="G50" i="59"/>
  <c r="F50" i="59"/>
  <c r="E50" i="59"/>
  <c r="D50" i="59"/>
  <c r="B50" i="59"/>
  <c r="AL49" i="59"/>
  <c r="AK49" i="59"/>
  <c r="AJ49" i="59"/>
  <c r="AI49" i="59"/>
  <c r="AA49" i="59"/>
  <c r="Z49" i="59"/>
  <c r="Y49" i="59"/>
  <c r="X49" i="59"/>
  <c r="W49" i="59"/>
  <c r="V49" i="59"/>
  <c r="U49" i="59"/>
  <c r="T49" i="59"/>
  <c r="S49" i="59"/>
  <c r="R49" i="59"/>
  <c r="Q49" i="59"/>
  <c r="P49" i="59"/>
  <c r="O49" i="59"/>
  <c r="N49" i="59"/>
  <c r="M49" i="59"/>
  <c r="L49" i="59"/>
  <c r="K49" i="59"/>
  <c r="J49" i="59"/>
  <c r="I49" i="59"/>
  <c r="H49" i="59"/>
  <c r="G49" i="59"/>
  <c r="F49" i="59"/>
  <c r="AD49" i="59" s="1"/>
  <c r="AO49" i="59" s="1"/>
  <c r="E49" i="59"/>
  <c r="D49" i="59"/>
  <c r="B49" i="59"/>
  <c r="AL48" i="59"/>
  <c r="AK48" i="59"/>
  <c r="AJ48" i="59"/>
  <c r="AI48" i="59"/>
  <c r="AA48" i="59"/>
  <c r="Z48" i="59"/>
  <c r="Y48" i="59"/>
  <c r="X48" i="59"/>
  <c r="W48" i="59"/>
  <c r="V48" i="59"/>
  <c r="U48" i="59"/>
  <c r="T48" i="59"/>
  <c r="S48" i="59"/>
  <c r="R48" i="59"/>
  <c r="Q48" i="59"/>
  <c r="P48" i="59"/>
  <c r="O48" i="59"/>
  <c r="N48" i="59"/>
  <c r="M48" i="59"/>
  <c r="L48" i="59"/>
  <c r="K48" i="59"/>
  <c r="J48" i="59"/>
  <c r="I48" i="59"/>
  <c r="H48" i="59"/>
  <c r="G48" i="59"/>
  <c r="F48" i="59"/>
  <c r="AD48" i="59" s="1"/>
  <c r="AO48" i="59" s="1"/>
  <c r="E48" i="59"/>
  <c r="D48" i="59"/>
  <c r="AB48" i="59" s="1"/>
  <c r="B48" i="59"/>
  <c r="AL47" i="59"/>
  <c r="AK47" i="59"/>
  <c r="AJ47" i="59"/>
  <c r="AI47" i="59"/>
  <c r="AA47" i="59"/>
  <c r="Z47" i="59"/>
  <c r="Y47" i="59"/>
  <c r="X47" i="59"/>
  <c r="W47" i="59"/>
  <c r="V47" i="59"/>
  <c r="U47" i="59"/>
  <c r="T47" i="59"/>
  <c r="S47" i="59"/>
  <c r="R47" i="59"/>
  <c r="Q47" i="59"/>
  <c r="P47" i="59"/>
  <c r="O47" i="59"/>
  <c r="N47" i="59"/>
  <c r="M47" i="59"/>
  <c r="L47" i="59"/>
  <c r="K47" i="59"/>
  <c r="J47" i="59"/>
  <c r="I47" i="59"/>
  <c r="H47" i="59"/>
  <c r="G47" i="59"/>
  <c r="F47" i="59"/>
  <c r="AD47" i="59" s="1"/>
  <c r="AO47" i="59" s="1"/>
  <c r="E47" i="59"/>
  <c r="D47" i="59"/>
  <c r="B47" i="59"/>
  <c r="AL46" i="59"/>
  <c r="AK46" i="59"/>
  <c r="AJ46" i="59"/>
  <c r="AI46" i="59"/>
  <c r="AD46" i="59"/>
  <c r="AO46" i="59" s="1"/>
  <c r="AA46" i="59"/>
  <c r="Z46" i="59"/>
  <c r="Y46" i="59"/>
  <c r="X46" i="59"/>
  <c r="W46" i="59"/>
  <c r="V46" i="59"/>
  <c r="U46" i="59"/>
  <c r="T46" i="59"/>
  <c r="S46" i="59"/>
  <c r="R46" i="59"/>
  <c r="Q46" i="59"/>
  <c r="P46" i="59"/>
  <c r="O46" i="59"/>
  <c r="N46" i="59"/>
  <c r="M46" i="59"/>
  <c r="L46" i="59"/>
  <c r="K46" i="59"/>
  <c r="J46" i="59"/>
  <c r="I46" i="59"/>
  <c r="H46" i="59"/>
  <c r="G46" i="59"/>
  <c r="F46" i="59"/>
  <c r="E46" i="59"/>
  <c r="D46" i="59"/>
  <c r="B46" i="59"/>
  <c r="AL45" i="59"/>
  <c r="AK45" i="59"/>
  <c r="AJ45" i="59"/>
  <c r="AI45" i="59"/>
  <c r="AA45" i="59"/>
  <c r="Z45" i="59"/>
  <c r="Y45" i="59"/>
  <c r="X45" i="59"/>
  <c r="W45" i="59"/>
  <c r="V45" i="59"/>
  <c r="U45" i="59"/>
  <c r="T45" i="59"/>
  <c r="S45" i="59"/>
  <c r="R45" i="59"/>
  <c r="Q45" i="59"/>
  <c r="P45" i="59"/>
  <c r="O45" i="59"/>
  <c r="N45" i="59"/>
  <c r="M45" i="59"/>
  <c r="L45" i="59"/>
  <c r="K45" i="59"/>
  <c r="J45" i="59"/>
  <c r="I45" i="59"/>
  <c r="H45" i="59"/>
  <c r="G45" i="59"/>
  <c r="F45" i="59"/>
  <c r="AD45" i="59" s="1"/>
  <c r="AO45" i="59" s="1"/>
  <c r="E45" i="59"/>
  <c r="D45" i="59"/>
  <c r="B45" i="59"/>
  <c r="AL44" i="59"/>
  <c r="AK44" i="59"/>
  <c r="AJ44" i="59"/>
  <c r="AI44" i="59"/>
  <c r="AD44" i="59"/>
  <c r="AO44" i="59" s="1"/>
  <c r="AA44" i="59"/>
  <c r="Z44" i="59"/>
  <c r="Y44" i="59"/>
  <c r="X44" i="59"/>
  <c r="W44" i="59"/>
  <c r="V44" i="59"/>
  <c r="U44" i="59"/>
  <c r="T44" i="59"/>
  <c r="S44" i="59"/>
  <c r="R44" i="59"/>
  <c r="Q44" i="59"/>
  <c r="P44" i="59"/>
  <c r="O44" i="59"/>
  <c r="N44" i="59"/>
  <c r="M44" i="59"/>
  <c r="L44" i="59"/>
  <c r="K44" i="59"/>
  <c r="J44" i="59"/>
  <c r="I44" i="59"/>
  <c r="H44" i="59"/>
  <c r="G44" i="59"/>
  <c r="F44" i="59"/>
  <c r="E44" i="59"/>
  <c r="D44" i="59"/>
  <c r="B44" i="59"/>
  <c r="AL43" i="59"/>
  <c r="AK43" i="59"/>
  <c r="AJ43" i="59"/>
  <c r="AI43" i="59"/>
  <c r="AA43" i="59"/>
  <c r="Z43" i="59"/>
  <c r="Y43" i="59"/>
  <c r="X43" i="59"/>
  <c r="W43" i="59"/>
  <c r="V43" i="59"/>
  <c r="U43" i="59"/>
  <c r="T43" i="59"/>
  <c r="S43" i="59"/>
  <c r="R43" i="59"/>
  <c r="Q43" i="59"/>
  <c r="P43" i="59"/>
  <c r="O43" i="59"/>
  <c r="N43" i="59"/>
  <c r="M43" i="59"/>
  <c r="L43" i="59"/>
  <c r="K43" i="59"/>
  <c r="J43" i="59"/>
  <c r="I43" i="59"/>
  <c r="H43" i="59"/>
  <c r="G43" i="59"/>
  <c r="F43" i="59"/>
  <c r="AD43" i="59" s="1"/>
  <c r="AO43" i="59" s="1"/>
  <c r="E43" i="59"/>
  <c r="D43" i="59"/>
  <c r="B43" i="59"/>
  <c r="AL42" i="59"/>
  <c r="AK42" i="59"/>
  <c r="AJ42" i="59"/>
  <c r="AI42" i="59"/>
  <c r="AA42" i="59"/>
  <c r="Z42" i="59"/>
  <c r="Y42" i="59"/>
  <c r="X42" i="59"/>
  <c r="W42" i="59"/>
  <c r="V42" i="59"/>
  <c r="U42" i="59"/>
  <c r="T42" i="59"/>
  <c r="S42" i="59"/>
  <c r="R42" i="59"/>
  <c r="Q42" i="59"/>
  <c r="P42" i="59"/>
  <c r="O42" i="59"/>
  <c r="N42" i="59"/>
  <c r="M42" i="59"/>
  <c r="L42" i="59"/>
  <c r="K42" i="59"/>
  <c r="J42" i="59"/>
  <c r="I42" i="59"/>
  <c r="H42" i="59"/>
  <c r="G42" i="59"/>
  <c r="F42" i="59"/>
  <c r="AD42" i="59" s="1"/>
  <c r="AO42" i="59" s="1"/>
  <c r="E42" i="59"/>
  <c r="D42" i="59"/>
  <c r="B42" i="59"/>
  <c r="AL41" i="59"/>
  <c r="AK41" i="59"/>
  <c r="AJ41" i="59"/>
  <c r="AI41" i="59"/>
  <c r="AA41" i="59"/>
  <c r="Z41" i="59"/>
  <c r="Y41" i="59"/>
  <c r="X41" i="59"/>
  <c r="W41" i="59"/>
  <c r="V41" i="59"/>
  <c r="U41" i="59"/>
  <c r="T41" i="59"/>
  <c r="S41" i="59"/>
  <c r="R41" i="59"/>
  <c r="Q41" i="59"/>
  <c r="P41" i="59"/>
  <c r="O41" i="59"/>
  <c r="N41" i="59"/>
  <c r="M41" i="59"/>
  <c r="L41" i="59"/>
  <c r="K41" i="59"/>
  <c r="J41" i="59"/>
  <c r="I41" i="59"/>
  <c r="H41" i="59"/>
  <c r="G41" i="59"/>
  <c r="F41" i="59"/>
  <c r="AD41" i="59" s="1"/>
  <c r="AO41" i="59" s="1"/>
  <c r="E41" i="59"/>
  <c r="D41" i="59"/>
  <c r="B41" i="59"/>
  <c r="AL40" i="59"/>
  <c r="AK40" i="59"/>
  <c r="AJ40" i="59"/>
  <c r="AI40" i="59"/>
  <c r="AA40" i="59"/>
  <c r="Z40" i="59"/>
  <c r="Y40" i="59"/>
  <c r="X40" i="59"/>
  <c r="W40" i="59"/>
  <c r="V40" i="59"/>
  <c r="U40" i="59"/>
  <c r="T40" i="59"/>
  <c r="S40" i="59"/>
  <c r="R40" i="59"/>
  <c r="Q40" i="59"/>
  <c r="P40" i="59"/>
  <c r="O40" i="59"/>
  <c r="N40" i="59"/>
  <c r="M40" i="59"/>
  <c r="L40" i="59"/>
  <c r="K40" i="59"/>
  <c r="J40" i="59"/>
  <c r="I40" i="59"/>
  <c r="H40" i="59"/>
  <c r="G40" i="59"/>
  <c r="F40" i="59"/>
  <c r="AD40" i="59" s="1"/>
  <c r="AO40" i="59" s="1"/>
  <c r="E40" i="59"/>
  <c r="D40" i="59"/>
  <c r="B40" i="59"/>
  <c r="AL39" i="59"/>
  <c r="AK39" i="59"/>
  <c r="AJ39" i="59"/>
  <c r="AI39" i="59"/>
  <c r="AA39" i="59"/>
  <c r="Z39" i="59"/>
  <c r="Y39" i="59"/>
  <c r="X39" i="59"/>
  <c r="W39" i="59"/>
  <c r="V39" i="59"/>
  <c r="U39" i="59"/>
  <c r="T39" i="59"/>
  <c r="S39" i="59"/>
  <c r="R39" i="59"/>
  <c r="Q39" i="59"/>
  <c r="P39" i="59"/>
  <c r="O39" i="59"/>
  <c r="N39" i="59"/>
  <c r="M39" i="59"/>
  <c r="L39" i="59"/>
  <c r="K39" i="59"/>
  <c r="J39" i="59"/>
  <c r="I39" i="59"/>
  <c r="H39" i="59"/>
  <c r="G39" i="59"/>
  <c r="F39" i="59"/>
  <c r="AD39" i="59" s="1"/>
  <c r="AO39" i="59" s="1"/>
  <c r="E39" i="59"/>
  <c r="D39" i="59"/>
  <c r="B39" i="59"/>
  <c r="AL38" i="59"/>
  <c r="AK38" i="59"/>
  <c r="AJ38" i="59"/>
  <c r="AI38" i="59"/>
  <c r="AA38" i="59"/>
  <c r="Z38" i="59"/>
  <c r="Y38" i="59"/>
  <c r="X38" i="59"/>
  <c r="W38" i="59"/>
  <c r="V38" i="59"/>
  <c r="U38" i="59"/>
  <c r="T38" i="59"/>
  <c r="S38" i="59"/>
  <c r="R38" i="59"/>
  <c r="Q38" i="59"/>
  <c r="P38" i="59"/>
  <c r="O38" i="59"/>
  <c r="N38" i="59"/>
  <c r="M38" i="59"/>
  <c r="L38" i="59"/>
  <c r="K38" i="59"/>
  <c r="J38" i="59"/>
  <c r="I38" i="59"/>
  <c r="H38" i="59"/>
  <c r="G38" i="59"/>
  <c r="F38" i="59"/>
  <c r="AD38" i="59" s="1"/>
  <c r="AO38" i="59" s="1"/>
  <c r="E38" i="59"/>
  <c r="D38" i="59"/>
  <c r="B38" i="59"/>
  <c r="AL37" i="59"/>
  <c r="AK37" i="59"/>
  <c r="AJ37" i="59"/>
  <c r="AI37" i="59"/>
  <c r="AA37" i="59"/>
  <c r="Z37" i="59"/>
  <c r="Y37" i="59"/>
  <c r="X37" i="59"/>
  <c r="W37" i="59"/>
  <c r="V37" i="59"/>
  <c r="U37" i="59"/>
  <c r="T37" i="59"/>
  <c r="S37" i="59"/>
  <c r="R37" i="59"/>
  <c r="Q37" i="59"/>
  <c r="P37" i="59"/>
  <c r="O37" i="59"/>
  <c r="N37" i="59"/>
  <c r="M37" i="59"/>
  <c r="L37" i="59"/>
  <c r="K37" i="59"/>
  <c r="J37" i="59"/>
  <c r="I37" i="59"/>
  <c r="H37" i="59"/>
  <c r="G37" i="59"/>
  <c r="F37" i="59"/>
  <c r="AD37" i="59" s="1"/>
  <c r="AO37" i="59" s="1"/>
  <c r="E37" i="59"/>
  <c r="D37" i="59"/>
  <c r="B37" i="59"/>
  <c r="AL36" i="59"/>
  <c r="AK36" i="59"/>
  <c r="AJ36" i="59"/>
  <c r="AI36" i="59"/>
  <c r="AA36" i="59"/>
  <c r="Z36" i="59"/>
  <c r="Y36" i="59"/>
  <c r="X36" i="59"/>
  <c r="W36" i="59"/>
  <c r="V36" i="59"/>
  <c r="U36" i="59"/>
  <c r="T36" i="59"/>
  <c r="S36" i="59"/>
  <c r="R36" i="59"/>
  <c r="Q36" i="59"/>
  <c r="P36" i="59"/>
  <c r="O36" i="59"/>
  <c r="N36" i="59"/>
  <c r="M36" i="59"/>
  <c r="L36" i="59"/>
  <c r="K36" i="59"/>
  <c r="J36" i="59"/>
  <c r="I36" i="59"/>
  <c r="H36" i="59"/>
  <c r="G36" i="59"/>
  <c r="F36" i="59"/>
  <c r="AD36" i="59" s="1"/>
  <c r="AO36" i="59" s="1"/>
  <c r="E36" i="59"/>
  <c r="D36" i="59"/>
  <c r="B36" i="59"/>
  <c r="AL35" i="59"/>
  <c r="AK35" i="59"/>
  <c r="AJ35" i="59"/>
  <c r="AI35" i="59"/>
  <c r="AA35" i="59"/>
  <c r="Z35" i="59"/>
  <c r="Y35" i="59"/>
  <c r="X35" i="59"/>
  <c r="W35" i="59"/>
  <c r="V35" i="59"/>
  <c r="U35" i="59"/>
  <c r="T35" i="59"/>
  <c r="S35" i="59"/>
  <c r="R35" i="59"/>
  <c r="Q35" i="59"/>
  <c r="P35" i="59"/>
  <c r="O35" i="59"/>
  <c r="N35" i="59"/>
  <c r="M35" i="59"/>
  <c r="L35" i="59"/>
  <c r="K35" i="59"/>
  <c r="J35" i="59"/>
  <c r="I35" i="59"/>
  <c r="H35" i="59"/>
  <c r="G35" i="59"/>
  <c r="F35" i="59"/>
  <c r="AD35" i="59" s="1"/>
  <c r="AO35" i="59" s="1"/>
  <c r="E35" i="59"/>
  <c r="D35" i="59"/>
  <c r="B35" i="59"/>
  <c r="AL34" i="59"/>
  <c r="AK34" i="59"/>
  <c r="AJ34" i="59"/>
  <c r="AI34" i="59"/>
  <c r="AA34" i="59"/>
  <c r="Z34" i="59"/>
  <c r="Y34" i="59"/>
  <c r="X34" i="59"/>
  <c r="W34" i="59"/>
  <c r="V34" i="59"/>
  <c r="U34" i="59"/>
  <c r="T34" i="59"/>
  <c r="S34" i="59"/>
  <c r="R34" i="59"/>
  <c r="Q34" i="59"/>
  <c r="P34" i="59"/>
  <c r="O34" i="59"/>
  <c r="N34" i="59"/>
  <c r="M34" i="59"/>
  <c r="L34" i="59"/>
  <c r="K34" i="59"/>
  <c r="J34" i="59"/>
  <c r="I34" i="59"/>
  <c r="H34" i="59"/>
  <c r="G34" i="59"/>
  <c r="F34" i="59"/>
  <c r="AD34" i="59" s="1"/>
  <c r="AO34" i="59" s="1"/>
  <c r="E34" i="59"/>
  <c r="D34" i="59"/>
  <c r="B34" i="59"/>
  <c r="AL33" i="59"/>
  <c r="AK33" i="59"/>
  <c r="AJ33" i="59"/>
  <c r="AI33" i="59"/>
  <c r="AA33" i="59"/>
  <c r="Z33" i="59"/>
  <c r="Y33" i="59"/>
  <c r="X33" i="59"/>
  <c r="W33" i="59"/>
  <c r="V33" i="59"/>
  <c r="U33" i="59"/>
  <c r="T33" i="59"/>
  <c r="S33" i="59"/>
  <c r="R33" i="59"/>
  <c r="Q33" i="59"/>
  <c r="P33" i="59"/>
  <c r="O33" i="59"/>
  <c r="N33" i="59"/>
  <c r="M33" i="59"/>
  <c r="L33" i="59"/>
  <c r="K33" i="59"/>
  <c r="J33" i="59"/>
  <c r="I33" i="59"/>
  <c r="H33" i="59"/>
  <c r="G33" i="59"/>
  <c r="F33" i="59"/>
  <c r="AD33" i="59" s="1"/>
  <c r="AO33" i="59" s="1"/>
  <c r="E33" i="59"/>
  <c r="D33" i="59"/>
  <c r="B33" i="59"/>
  <c r="AL32" i="59"/>
  <c r="AK32" i="59"/>
  <c r="AJ32" i="59"/>
  <c r="AI32" i="59"/>
  <c r="AA32" i="59"/>
  <c r="Z32" i="59"/>
  <c r="Y32" i="59"/>
  <c r="X32" i="59"/>
  <c r="W32" i="59"/>
  <c r="V32" i="59"/>
  <c r="U32" i="59"/>
  <c r="T32" i="59"/>
  <c r="S32" i="59"/>
  <c r="R32" i="59"/>
  <c r="Q32" i="59"/>
  <c r="P32" i="59"/>
  <c r="O32" i="59"/>
  <c r="N32" i="59"/>
  <c r="M32" i="59"/>
  <c r="L32" i="59"/>
  <c r="K32" i="59"/>
  <c r="J32" i="59"/>
  <c r="I32" i="59"/>
  <c r="H32" i="59"/>
  <c r="G32" i="59"/>
  <c r="F32" i="59"/>
  <c r="AD32" i="59" s="1"/>
  <c r="AO32" i="59" s="1"/>
  <c r="E32" i="59"/>
  <c r="D32" i="59"/>
  <c r="B32" i="59"/>
  <c r="AL31" i="59"/>
  <c r="AK31" i="59"/>
  <c r="AJ31" i="59"/>
  <c r="AI31" i="59"/>
  <c r="AA31" i="59"/>
  <c r="Z31" i="59"/>
  <c r="Y31" i="59"/>
  <c r="X31" i="59"/>
  <c r="W31" i="59"/>
  <c r="V31" i="59"/>
  <c r="U31" i="59"/>
  <c r="T31" i="59"/>
  <c r="S31" i="59"/>
  <c r="R31" i="59"/>
  <c r="Q31" i="59"/>
  <c r="P31" i="59"/>
  <c r="O31" i="59"/>
  <c r="N31" i="59"/>
  <c r="M31" i="59"/>
  <c r="L31" i="59"/>
  <c r="K31" i="59"/>
  <c r="J31" i="59"/>
  <c r="I31" i="59"/>
  <c r="H31" i="59"/>
  <c r="G31" i="59"/>
  <c r="F31" i="59"/>
  <c r="AD31" i="59" s="1"/>
  <c r="AO31" i="59" s="1"/>
  <c r="E31" i="59"/>
  <c r="D31" i="59"/>
  <c r="B31" i="59"/>
  <c r="AL30" i="59"/>
  <c r="AK30" i="59"/>
  <c r="AJ30" i="59"/>
  <c r="AI30" i="59"/>
  <c r="AA30" i="59"/>
  <c r="Z30" i="59"/>
  <c r="Y30" i="59"/>
  <c r="X30" i="59"/>
  <c r="W30" i="59"/>
  <c r="V30" i="59"/>
  <c r="U30" i="59"/>
  <c r="T30" i="59"/>
  <c r="S30" i="59"/>
  <c r="R30" i="59"/>
  <c r="Q30" i="59"/>
  <c r="P30" i="59"/>
  <c r="O30" i="59"/>
  <c r="N30" i="59"/>
  <c r="M30" i="59"/>
  <c r="L30" i="59"/>
  <c r="K30" i="59"/>
  <c r="J30" i="59"/>
  <c r="I30" i="59"/>
  <c r="H30" i="59"/>
  <c r="G30" i="59"/>
  <c r="F30" i="59"/>
  <c r="AD30" i="59" s="1"/>
  <c r="AO30" i="59" s="1"/>
  <c r="E30" i="59"/>
  <c r="AC30" i="59" s="1"/>
  <c r="D30" i="59"/>
  <c r="B30" i="59"/>
  <c r="AL29" i="59"/>
  <c r="AK29" i="59"/>
  <c r="AJ29" i="59"/>
  <c r="AI29" i="59"/>
  <c r="AA29" i="59"/>
  <c r="Z29" i="59"/>
  <c r="Y29" i="59"/>
  <c r="X29" i="59"/>
  <c r="W29" i="59"/>
  <c r="V29" i="59"/>
  <c r="AR29" i="59" s="1"/>
  <c r="U29" i="59"/>
  <c r="T29" i="59"/>
  <c r="S29" i="59"/>
  <c r="R29" i="59"/>
  <c r="Q29" i="59"/>
  <c r="P29" i="59"/>
  <c r="O29" i="59"/>
  <c r="N29" i="59"/>
  <c r="M29" i="59"/>
  <c r="L29" i="59"/>
  <c r="AC29" i="59" s="1"/>
  <c r="AG29" i="59" s="1"/>
  <c r="AN29" i="59" s="1"/>
  <c r="K29" i="59"/>
  <c r="J29" i="59"/>
  <c r="I29" i="59"/>
  <c r="H29" i="59"/>
  <c r="G29" i="59"/>
  <c r="F29" i="59"/>
  <c r="AD29" i="59" s="1"/>
  <c r="AO29" i="59" s="1"/>
  <c r="E29" i="59"/>
  <c r="D29" i="59"/>
  <c r="AB29" i="59" s="1"/>
  <c r="B29" i="59"/>
  <c r="AL28" i="59"/>
  <c r="AK28" i="59"/>
  <c r="AJ28" i="59"/>
  <c r="AI28" i="59"/>
  <c r="AD28" i="59"/>
  <c r="AO28" i="59" s="1"/>
  <c r="AA28" i="59"/>
  <c r="Z28" i="59"/>
  <c r="Y28" i="59"/>
  <c r="X28" i="59"/>
  <c r="W28" i="59"/>
  <c r="V28" i="59"/>
  <c r="U28" i="59"/>
  <c r="T28" i="59"/>
  <c r="S28" i="59"/>
  <c r="R28" i="59"/>
  <c r="Q28" i="59"/>
  <c r="P28" i="59"/>
  <c r="O28" i="59"/>
  <c r="N28" i="59"/>
  <c r="M28" i="59"/>
  <c r="L28" i="59"/>
  <c r="K28" i="59"/>
  <c r="J28" i="59"/>
  <c r="I28" i="59"/>
  <c r="H28" i="59"/>
  <c r="G28" i="59"/>
  <c r="F28" i="59"/>
  <c r="E28" i="59"/>
  <c r="D28" i="59"/>
  <c r="B28" i="59"/>
  <c r="AL27" i="59"/>
  <c r="AK27" i="59"/>
  <c r="AJ27" i="59"/>
  <c r="AI27" i="59"/>
  <c r="AA27" i="59"/>
  <c r="Z27" i="59"/>
  <c r="Y27" i="59"/>
  <c r="X27" i="59"/>
  <c r="W27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F27" i="59"/>
  <c r="AD27" i="59" s="1"/>
  <c r="AO27" i="59" s="1"/>
  <c r="E27" i="59"/>
  <c r="D27" i="59"/>
  <c r="B27" i="59"/>
  <c r="AL26" i="59"/>
  <c r="AK26" i="59"/>
  <c r="AJ26" i="59"/>
  <c r="AI26" i="59"/>
  <c r="AA26" i="59"/>
  <c r="Z26" i="59"/>
  <c r="Y26" i="59"/>
  <c r="X26" i="59"/>
  <c r="W26" i="59"/>
  <c r="V26" i="59"/>
  <c r="U26" i="59"/>
  <c r="T26" i="59"/>
  <c r="S26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F26" i="59"/>
  <c r="AD26" i="59" s="1"/>
  <c r="AO26" i="59" s="1"/>
  <c r="E26" i="59"/>
  <c r="D26" i="59"/>
  <c r="B26" i="59"/>
  <c r="AL25" i="59"/>
  <c r="AK25" i="59"/>
  <c r="AJ25" i="59"/>
  <c r="AI25" i="59"/>
  <c r="AA25" i="59"/>
  <c r="Z25" i="59"/>
  <c r="Y25" i="59"/>
  <c r="X25" i="59"/>
  <c r="W25" i="59"/>
  <c r="V25" i="59"/>
  <c r="U25" i="59"/>
  <c r="T25" i="59"/>
  <c r="S25" i="59"/>
  <c r="R25" i="59"/>
  <c r="Q25" i="59"/>
  <c r="P25" i="59"/>
  <c r="O25" i="59"/>
  <c r="N25" i="59"/>
  <c r="M25" i="59"/>
  <c r="L25" i="59"/>
  <c r="K25" i="59"/>
  <c r="J25" i="59"/>
  <c r="I25" i="59"/>
  <c r="H25" i="59"/>
  <c r="G25" i="59"/>
  <c r="F25" i="59"/>
  <c r="AD25" i="59" s="1"/>
  <c r="AO25" i="59" s="1"/>
  <c r="E25" i="59"/>
  <c r="D25" i="59"/>
  <c r="C25" i="59"/>
  <c r="C135" i="59" s="1"/>
  <c r="B25" i="59"/>
  <c r="AL24" i="59"/>
  <c r="AK24" i="59"/>
  <c r="AJ24" i="59"/>
  <c r="AI24" i="59"/>
  <c r="AA24" i="59"/>
  <c r="Z24" i="59"/>
  <c r="Y24" i="59"/>
  <c r="X24" i="59"/>
  <c r="W24" i="59"/>
  <c r="V24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AD24" i="59" s="1"/>
  <c r="AO24" i="59" s="1"/>
  <c r="E24" i="59"/>
  <c r="D24" i="59"/>
  <c r="B24" i="59"/>
  <c r="AL23" i="59"/>
  <c r="AK23" i="59"/>
  <c r="AJ23" i="59"/>
  <c r="AI23" i="59"/>
  <c r="AA23" i="59"/>
  <c r="Z23" i="59"/>
  <c r="Y23" i="59"/>
  <c r="X23" i="59"/>
  <c r="W23" i="59"/>
  <c r="V23" i="59"/>
  <c r="U23" i="59"/>
  <c r="T23" i="59"/>
  <c r="S23" i="59"/>
  <c r="R23" i="59"/>
  <c r="Q23" i="59"/>
  <c r="P23" i="59"/>
  <c r="O23" i="59"/>
  <c r="N23" i="59"/>
  <c r="M23" i="59"/>
  <c r="L23" i="59"/>
  <c r="K23" i="59"/>
  <c r="J23" i="59"/>
  <c r="I23" i="59"/>
  <c r="H23" i="59"/>
  <c r="G23" i="59"/>
  <c r="F23" i="59"/>
  <c r="AD23" i="59" s="1"/>
  <c r="AO23" i="59" s="1"/>
  <c r="E23" i="59"/>
  <c r="D23" i="59"/>
  <c r="B23" i="59"/>
  <c r="AL22" i="59"/>
  <c r="AK22" i="59"/>
  <c r="AJ22" i="59"/>
  <c r="AI22" i="59"/>
  <c r="AA22" i="59"/>
  <c r="Z22" i="59"/>
  <c r="Y22" i="59"/>
  <c r="X22" i="59"/>
  <c r="W22" i="59"/>
  <c r="V22" i="59"/>
  <c r="AR22" i="59" s="1"/>
  <c r="U22" i="59"/>
  <c r="T22" i="59"/>
  <c r="S22" i="59"/>
  <c r="R22" i="59"/>
  <c r="Q22" i="59"/>
  <c r="P22" i="59"/>
  <c r="O22" i="59"/>
  <c r="N22" i="59"/>
  <c r="M22" i="59"/>
  <c r="L22" i="59"/>
  <c r="K22" i="59"/>
  <c r="J22" i="59"/>
  <c r="I22" i="59"/>
  <c r="H22" i="59"/>
  <c r="G22" i="59"/>
  <c r="F22" i="59"/>
  <c r="AD22" i="59" s="1"/>
  <c r="AO22" i="59" s="1"/>
  <c r="E22" i="59"/>
  <c r="AC22" i="59" s="1"/>
  <c r="AG22" i="59" s="1"/>
  <c r="AN22" i="59" s="1"/>
  <c r="D22" i="59"/>
  <c r="B22" i="59"/>
  <c r="AL21" i="59"/>
  <c r="AK21" i="59"/>
  <c r="AJ21" i="59"/>
  <c r="AI21" i="59"/>
  <c r="AA21" i="59"/>
  <c r="Z21" i="59"/>
  <c r="Y21" i="59"/>
  <c r="X21" i="59"/>
  <c r="W21" i="59"/>
  <c r="V21" i="59"/>
  <c r="U21" i="59"/>
  <c r="T21" i="59"/>
  <c r="S21" i="59"/>
  <c r="R21" i="59"/>
  <c r="Q21" i="59"/>
  <c r="P21" i="59"/>
  <c r="O21" i="59"/>
  <c r="N21" i="59"/>
  <c r="M21" i="59"/>
  <c r="L21" i="59"/>
  <c r="K21" i="59"/>
  <c r="J21" i="59"/>
  <c r="I21" i="59"/>
  <c r="H21" i="59"/>
  <c r="G21" i="59"/>
  <c r="F21" i="59"/>
  <c r="AD21" i="59" s="1"/>
  <c r="AO21" i="59" s="1"/>
  <c r="E21" i="59"/>
  <c r="D21" i="59"/>
  <c r="B21" i="59"/>
  <c r="AL20" i="59"/>
  <c r="AK20" i="59"/>
  <c r="AJ20" i="59"/>
  <c r="AI20" i="59"/>
  <c r="AA20" i="59"/>
  <c r="Z20" i="59"/>
  <c r="Y20" i="59"/>
  <c r="X20" i="59"/>
  <c r="W20" i="59"/>
  <c r="V20" i="59"/>
  <c r="AR20" i="59" s="1"/>
  <c r="U20" i="59"/>
  <c r="T20" i="59"/>
  <c r="S20" i="59"/>
  <c r="R20" i="59"/>
  <c r="Q20" i="59"/>
  <c r="P20" i="59"/>
  <c r="O20" i="59"/>
  <c r="N20" i="59"/>
  <c r="M20" i="59"/>
  <c r="L20" i="59"/>
  <c r="K20" i="59"/>
  <c r="J20" i="59"/>
  <c r="I20" i="59"/>
  <c r="H20" i="59"/>
  <c r="G20" i="59"/>
  <c r="F20" i="59"/>
  <c r="AD20" i="59" s="1"/>
  <c r="AO20" i="59" s="1"/>
  <c r="E20" i="59"/>
  <c r="D20" i="59"/>
  <c r="B20" i="59"/>
  <c r="AL19" i="59"/>
  <c r="AK19" i="59"/>
  <c r="AJ19" i="59"/>
  <c r="AI19" i="59"/>
  <c r="AD19" i="59"/>
  <c r="AO19" i="59" s="1"/>
  <c r="AA19" i="59"/>
  <c r="Z19" i="59"/>
  <c r="Y19" i="59"/>
  <c r="X19" i="59"/>
  <c r="W19" i="59"/>
  <c r="V19" i="59"/>
  <c r="U19" i="59"/>
  <c r="T19" i="59"/>
  <c r="S19" i="59"/>
  <c r="R19" i="59"/>
  <c r="Q19" i="59"/>
  <c r="P19" i="59"/>
  <c r="O19" i="59"/>
  <c r="N19" i="59"/>
  <c r="M19" i="59"/>
  <c r="L19" i="59"/>
  <c r="K19" i="59"/>
  <c r="J19" i="59"/>
  <c r="I19" i="59"/>
  <c r="H19" i="59"/>
  <c r="G19" i="59"/>
  <c r="F19" i="59"/>
  <c r="E19" i="59"/>
  <c r="D19" i="59"/>
  <c r="B19" i="59"/>
  <c r="AW18" i="59"/>
  <c r="AL18" i="59"/>
  <c r="AK18" i="59"/>
  <c r="AJ18" i="59"/>
  <c r="AI18" i="59"/>
  <c r="AA18" i="59"/>
  <c r="Z18" i="59"/>
  <c r="Y18" i="59"/>
  <c r="X18" i="59"/>
  <c r="W18" i="59"/>
  <c r="V18" i="59"/>
  <c r="U18" i="59"/>
  <c r="T18" i="59"/>
  <c r="S18" i="59"/>
  <c r="R18" i="59"/>
  <c r="Q18" i="59"/>
  <c r="P18" i="59"/>
  <c r="O18" i="59"/>
  <c r="N18" i="59"/>
  <c r="M18" i="59"/>
  <c r="L18" i="59"/>
  <c r="K18" i="59"/>
  <c r="J18" i="59"/>
  <c r="I18" i="59"/>
  <c r="H18" i="59"/>
  <c r="G18" i="59"/>
  <c r="F18" i="59"/>
  <c r="AD18" i="59" s="1"/>
  <c r="AO18" i="59" s="1"/>
  <c r="E18" i="59"/>
  <c r="D18" i="59"/>
  <c r="B18" i="59"/>
  <c r="AL17" i="59"/>
  <c r="AK17" i="59"/>
  <c r="AJ17" i="59"/>
  <c r="AI17" i="59"/>
  <c r="AA17" i="59"/>
  <c r="Z17" i="59"/>
  <c r="Y17" i="59"/>
  <c r="X17" i="59"/>
  <c r="W17" i="59"/>
  <c r="V17" i="59"/>
  <c r="U17" i="59"/>
  <c r="T17" i="59"/>
  <c r="S17" i="59"/>
  <c r="R17" i="59"/>
  <c r="Q17" i="59"/>
  <c r="P17" i="59"/>
  <c r="O17" i="59"/>
  <c r="N17" i="59"/>
  <c r="M17" i="59"/>
  <c r="L17" i="59"/>
  <c r="K17" i="59"/>
  <c r="J17" i="59"/>
  <c r="I17" i="59"/>
  <c r="H17" i="59"/>
  <c r="G17" i="59"/>
  <c r="F17" i="59"/>
  <c r="AD17" i="59" s="1"/>
  <c r="AO17" i="59" s="1"/>
  <c r="E17" i="59"/>
  <c r="D17" i="59"/>
  <c r="AB17" i="59" s="1"/>
  <c r="B17" i="59"/>
  <c r="AN16" i="59"/>
  <c r="AL16" i="59"/>
  <c r="AK16" i="59"/>
  <c r="AJ16" i="59"/>
  <c r="AI16" i="59"/>
  <c r="AH16" i="59"/>
  <c r="AD16" i="59"/>
  <c r="AO16" i="59" s="1"/>
  <c r="AA16" i="59"/>
  <c r="Z16" i="59"/>
  <c r="Y16" i="59"/>
  <c r="X16" i="59"/>
  <c r="W16" i="59"/>
  <c r="V16" i="59"/>
  <c r="U16" i="59"/>
  <c r="T16" i="59"/>
  <c r="S16" i="59"/>
  <c r="R16" i="59"/>
  <c r="Q16" i="59"/>
  <c r="P16" i="59"/>
  <c r="O16" i="59"/>
  <c r="N16" i="59"/>
  <c r="M16" i="59"/>
  <c r="L16" i="59"/>
  <c r="K16" i="59"/>
  <c r="J16" i="59"/>
  <c r="I16" i="59"/>
  <c r="H16" i="59"/>
  <c r="G16" i="59"/>
  <c r="F16" i="59"/>
  <c r="E16" i="59"/>
  <c r="D16" i="59"/>
  <c r="B16" i="59"/>
  <c r="AL15" i="59"/>
  <c r="AK15" i="59"/>
  <c r="AJ15" i="59"/>
  <c r="AI15" i="59"/>
  <c r="AA15" i="59"/>
  <c r="Z15" i="59"/>
  <c r="AR15" i="59" s="1"/>
  <c r="Y15" i="59"/>
  <c r="X15" i="59"/>
  <c r="W15" i="59"/>
  <c r="V15" i="59"/>
  <c r="U15" i="59"/>
  <c r="T15" i="59"/>
  <c r="S15" i="59"/>
  <c r="R15" i="59"/>
  <c r="Q15" i="59"/>
  <c r="P15" i="59"/>
  <c r="O15" i="59"/>
  <c r="N15" i="59"/>
  <c r="M15" i="59"/>
  <c r="L15" i="59"/>
  <c r="K15" i="59"/>
  <c r="J15" i="59"/>
  <c r="I15" i="59"/>
  <c r="H15" i="59"/>
  <c r="G15" i="59"/>
  <c r="F15" i="59"/>
  <c r="AD15" i="59" s="1"/>
  <c r="AO15" i="59" s="1"/>
  <c r="E15" i="59"/>
  <c r="D15" i="59"/>
  <c r="B15" i="59"/>
  <c r="AL14" i="59"/>
  <c r="AK14" i="59"/>
  <c r="AJ14" i="59"/>
  <c r="AI14" i="59"/>
  <c r="AA14" i="59"/>
  <c r="Z14" i="59"/>
  <c r="Y14" i="59"/>
  <c r="X14" i="59"/>
  <c r="W14" i="59"/>
  <c r="V14" i="59"/>
  <c r="U14" i="59"/>
  <c r="T14" i="59"/>
  <c r="S14" i="59"/>
  <c r="R14" i="59"/>
  <c r="Q14" i="59"/>
  <c r="P14" i="59"/>
  <c r="O14" i="59"/>
  <c r="N14" i="59"/>
  <c r="M14" i="59"/>
  <c r="L14" i="59"/>
  <c r="K14" i="59"/>
  <c r="J14" i="59"/>
  <c r="I14" i="59"/>
  <c r="H14" i="59"/>
  <c r="G14" i="59"/>
  <c r="F14" i="59"/>
  <c r="AD14" i="59" s="1"/>
  <c r="AO14" i="59" s="1"/>
  <c r="E14" i="59"/>
  <c r="D14" i="59"/>
  <c r="B14" i="59"/>
  <c r="AL13" i="59"/>
  <c r="AK13" i="59"/>
  <c r="AJ13" i="59"/>
  <c r="AI13" i="59"/>
  <c r="AA13" i="59"/>
  <c r="Z13" i="59"/>
  <c r="Y13" i="59"/>
  <c r="X13" i="59"/>
  <c r="W13" i="59"/>
  <c r="V13" i="59"/>
  <c r="U13" i="59"/>
  <c r="T13" i="59"/>
  <c r="S13" i="59"/>
  <c r="R13" i="59"/>
  <c r="Q13" i="59"/>
  <c r="P13" i="59"/>
  <c r="O13" i="59"/>
  <c r="N13" i="59"/>
  <c r="M13" i="59"/>
  <c r="L13" i="59"/>
  <c r="K13" i="59"/>
  <c r="J13" i="59"/>
  <c r="I13" i="59"/>
  <c r="H13" i="59"/>
  <c r="G13" i="59"/>
  <c r="F13" i="59"/>
  <c r="AD13" i="59" s="1"/>
  <c r="AO13" i="59" s="1"/>
  <c r="E13" i="59"/>
  <c r="D13" i="59"/>
  <c r="B13" i="59"/>
  <c r="AL12" i="59"/>
  <c r="AK12" i="59"/>
  <c r="AJ12" i="59"/>
  <c r="AI12" i="59"/>
  <c r="AA12" i="59"/>
  <c r="Z12" i="59"/>
  <c r="Y12" i="59"/>
  <c r="X12" i="59"/>
  <c r="W12" i="59"/>
  <c r="V12" i="59"/>
  <c r="U12" i="59"/>
  <c r="T12" i="59"/>
  <c r="S12" i="59"/>
  <c r="R12" i="59"/>
  <c r="Q12" i="59"/>
  <c r="P12" i="59"/>
  <c r="O12" i="59"/>
  <c r="N12" i="59"/>
  <c r="M12" i="59"/>
  <c r="L12" i="59"/>
  <c r="K12" i="59"/>
  <c r="J12" i="59"/>
  <c r="I12" i="59"/>
  <c r="H12" i="59"/>
  <c r="G12" i="59"/>
  <c r="F12" i="59"/>
  <c r="AD12" i="59" s="1"/>
  <c r="AO12" i="59" s="1"/>
  <c r="E12" i="59"/>
  <c r="D12" i="59"/>
  <c r="B12" i="59"/>
  <c r="AL11" i="59"/>
  <c r="AK11" i="59"/>
  <c r="AJ11" i="59"/>
  <c r="AI11" i="59"/>
  <c r="AA11" i="59"/>
  <c r="Z11" i="59"/>
  <c r="Y11" i="59"/>
  <c r="X11" i="59"/>
  <c r="W11" i="59"/>
  <c r="V11" i="59"/>
  <c r="AR11" i="59" s="1"/>
  <c r="U11" i="59"/>
  <c r="T11" i="59"/>
  <c r="S11" i="59"/>
  <c r="R11" i="59"/>
  <c r="Q11" i="59"/>
  <c r="P11" i="59"/>
  <c r="O11" i="59"/>
  <c r="N11" i="59"/>
  <c r="M11" i="59"/>
  <c r="L11" i="59"/>
  <c r="K11" i="59"/>
  <c r="J11" i="59"/>
  <c r="I11" i="59"/>
  <c r="H11" i="59"/>
  <c r="G11" i="59"/>
  <c r="F11" i="59"/>
  <c r="AD11" i="59" s="1"/>
  <c r="AO11" i="59" s="1"/>
  <c r="E11" i="59"/>
  <c r="D11" i="59"/>
  <c r="B11" i="59"/>
  <c r="AL10" i="59"/>
  <c r="AK10" i="59"/>
  <c r="AJ10" i="59"/>
  <c r="AI10" i="59"/>
  <c r="AD10" i="59"/>
  <c r="AO10" i="59" s="1"/>
  <c r="AA10" i="59"/>
  <c r="Z10" i="59"/>
  <c r="Y10" i="59"/>
  <c r="X10" i="59"/>
  <c r="W10" i="59"/>
  <c r="V10" i="59"/>
  <c r="U10" i="59"/>
  <c r="T10" i="59"/>
  <c r="S10" i="59"/>
  <c r="R10" i="59"/>
  <c r="Q10" i="59"/>
  <c r="P10" i="59"/>
  <c r="O10" i="59"/>
  <c r="N10" i="59"/>
  <c r="M10" i="59"/>
  <c r="L10" i="59"/>
  <c r="K10" i="59"/>
  <c r="J10" i="59"/>
  <c r="I10" i="59"/>
  <c r="H10" i="59"/>
  <c r="G10" i="59"/>
  <c r="F10" i="59"/>
  <c r="E10" i="59"/>
  <c r="D10" i="59"/>
  <c r="B10" i="59"/>
  <c r="AL9" i="59"/>
  <c r="AK9" i="59"/>
  <c r="AJ9" i="59"/>
  <c r="AI9" i="59"/>
  <c r="AD9" i="59"/>
  <c r="AO9" i="59" s="1"/>
  <c r="AA9" i="59"/>
  <c r="Z9" i="59"/>
  <c r="Y9" i="59"/>
  <c r="X9" i="59"/>
  <c r="W9" i="59"/>
  <c r="V9" i="59"/>
  <c r="U9" i="59"/>
  <c r="T9" i="59"/>
  <c r="S9" i="59"/>
  <c r="R9" i="59"/>
  <c r="Q9" i="59"/>
  <c r="P9" i="59"/>
  <c r="O9" i="59"/>
  <c r="N9" i="59"/>
  <c r="M9" i="59"/>
  <c r="L9" i="59"/>
  <c r="K9" i="59"/>
  <c r="J9" i="59"/>
  <c r="I9" i="59"/>
  <c r="H9" i="59"/>
  <c r="G9" i="59"/>
  <c r="F9" i="59"/>
  <c r="E9" i="59"/>
  <c r="D9" i="59"/>
  <c r="B9" i="59"/>
  <c r="AO8" i="59"/>
  <c r="AL8" i="59"/>
  <c r="AK8" i="59"/>
  <c r="AJ8" i="59"/>
  <c r="AI8" i="59"/>
  <c r="AA8" i="59"/>
  <c r="Z8" i="59"/>
  <c r="Y8" i="59"/>
  <c r="X8" i="59"/>
  <c r="W8" i="59"/>
  <c r="V8" i="59"/>
  <c r="U8" i="59"/>
  <c r="T8" i="59"/>
  <c r="S8" i="59"/>
  <c r="R8" i="59"/>
  <c r="Q8" i="59"/>
  <c r="P8" i="59"/>
  <c r="O8" i="59"/>
  <c r="N8" i="59"/>
  <c r="M8" i="59"/>
  <c r="L8" i="59"/>
  <c r="K8" i="59"/>
  <c r="J8" i="59"/>
  <c r="I8" i="59"/>
  <c r="H8" i="59"/>
  <c r="G8" i="59"/>
  <c r="F8" i="59"/>
  <c r="AD8" i="59" s="1"/>
  <c r="E8" i="59"/>
  <c r="D8" i="59"/>
  <c r="B8" i="59"/>
  <c r="AL7" i="59"/>
  <c r="AK7" i="59"/>
  <c r="AJ7" i="59"/>
  <c r="AI7" i="59"/>
  <c r="AA7" i="59"/>
  <c r="Z7" i="59"/>
  <c r="Y7" i="59"/>
  <c r="X7" i="59"/>
  <c r="W7" i="59"/>
  <c r="V7" i="59"/>
  <c r="U7" i="59"/>
  <c r="T7" i="59"/>
  <c r="S7" i="59"/>
  <c r="R7" i="59"/>
  <c r="Q7" i="59"/>
  <c r="P7" i="59"/>
  <c r="O7" i="59"/>
  <c r="N7" i="59"/>
  <c r="M7" i="59"/>
  <c r="L7" i="59"/>
  <c r="K7" i="59"/>
  <c r="J7" i="59"/>
  <c r="I7" i="59"/>
  <c r="H7" i="59"/>
  <c r="G7" i="59"/>
  <c r="F7" i="59"/>
  <c r="AD7" i="59" s="1"/>
  <c r="AO7" i="59" s="1"/>
  <c r="E7" i="59"/>
  <c r="D7" i="59"/>
  <c r="B7" i="59"/>
  <c r="AL6" i="59"/>
  <c r="AK6" i="59"/>
  <c r="AJ6" i="59"/>
  <c r="AI6" i="59"/>
  <c r="AA6" i="59"/>
  <c r="Z6" i="59"/>
  <c r="Y6" i="59"/>
  <c r="X6" i="59"/>
  <c r="W6" i="59"/>
  <c r="V6" i="59"/>
  <c r="U6" i="59"/>
  <c r="T6" i="59"/>
  <c r="S6" i="59"/>
  <c r="R6" i="59"/>
  <c r="Q6" i="59"/>
  <c r="P6" i="59"/>
  <c r="O6" i="59"/>
  <c r="N6" i="59"/>
  <c r="M6" i="59"/>
  <c r="L6" i="59"/>
  <c r="K6" i="59"/>
  <c r="J6" i="59"/>
  <c r="I6" i="59"/>
  <c r="H6" i="59"/>
  <c r="G6" i="59"/>
  <c r="F6" i="59"/>
  <c r="AD6" i="59" s="1"/>
  <c r="AO6" i="59" s="1"/>
  <c r="E6" i="59"/>
  <c r="D6" i="59"/>
  <c r="AB6" i="59" s="1"/>
  <c r="B6" i="59"/>
  <c r="AQ5" i="59"/>
  <c r="AL5" i="59"/>
  <c r="AK5" i="59"/>
  <c r="AJ5" i="59"/>
  <c r="AI5" i="59"/>
  <c r="AA5" i="59"/>
  <c r="Z5" i="59"/>
  <c r="Y5" i="59"/>
  <c r="X5" i="59"/>
  <c r="W5" i="59"/>
  <c r="V5" i="59"/>
  <c r="AR5" i="59" s="1"/>
  <c r="U5" i="59"/>
  <c r="T5" i="59"/>
  <c r="S5" i="59"/>
  <c r="R5" i="59"/>
  <c r="Q5" i="59"/>
  <c r="P5" i="59"/>
  <c r="O5" i="59"/>
  <c r="N5" i="59"/>
  <c r="M5" i="59"/>
  <c r="L5" i="59"/>
  <c r="K5" i="59"/>
  <c r="J5" i="59"/>
  <c r="I5" i="59"/>
  <c r="H5" i="59"/>
  <c r="G5" i="59"/>
  <c r="F5" i="59"/>
  <c r="AD5" i="59" s="1"/>
  <c r="AO5" i="59" s="1"/>
  <c r="E5" i="59"/>
  <c r="D5" i="59"/>
  <c r="B5" i="59"/>
  <c r="AL4" i="59"/>
  <c r="AK4" i="59"/>
  <c r="AJ4" i="59"/>
  <c r="AI4" i="59"/>
  <c r="AA4" i="59"/>
  <c r="Z4" i="59"/>
  <c r="Y4" i="59"/>
  <c r="X4" i="59"/>
  <c r="W4" i="59"/>
  <c r="V4" i="59"/>
  <c r="U4" i="59"/>
  <c r="T4" i="59"/>
  <c r="S4" i="59"/>
  <c r="R4" i="59"/>
  <c r="Q4" i="59"/>
  <c r="P4" i="59"/>
  <c r="O4" i="59"/>
  <c r="N4" i="59"/>
  <c r="M4" i="59"/>
  <c r="L4" i="59"/>
  <c r="K4" i="59"/>
  <c r="J4" i="59"/>
  <c r="I4" i="59"/>
  <c r="H4" i="59"/>
  <c r="G4" i="59"/>
  <c r="F4" i="59"/>
  <c r="E4" i="59"/>
  <c r="D4" i="59"/>
  <c r="B4" i="59"/>
  <c r="AO3" i="59"/>
  <c r="AN3" i="59"/>
  <c r="AM3" i="59"/>
  <c r="I43" i="46"/>
  <c r="H43" i="46"/>
  <c r="I42" i="46"/>
  <c r="H42" i="46"/>
  <c r="H41" i="46"/>
  <c r="H40" i="46"/>
  <c r="H39" i="46"/>
  <c r="I38" i="46"/>
  <c r="H38" i="46"/>
  <c r="I37" i="46"/>
  <c r="H37" i="46"/>
  <c r="I36" i="46"/>
  <c r="H36" i="46"/>
  <c r="H34" i="46"/>
  <c r="H33" i="46"/>
  <c r="H32" i="46"/>
  <c r="H31" i="46"/>
  <c r="H30" i="46"/>
  <c r="H29" i="46"/>
  <c r="I29" i="46"/>
  <c r="H28" i="46"/>
  <c r="I28" i="46"/>
  <c r="I30" i="46"/>
  <c r="I31" i="46"/>
  <c r="I32" i="46"/>
  <c r="I33" i="46"/>
  <c r="H27" i="46"/>
  <c r="I26" i="46"/>
  <c r="H26" i="46"/>
  <c r="H24" i="46"/>
  <c r="I23" i="46"/>
  <c r="H23" i="46"/>
  <c r="I22" i="46"/>
  <c r="H22" i="46"/>
  <c r="I21" i="46"/>
  <c r="H21" i="46"/>
  <c r="H7" i="46"/>
  <c r="H8" i="46"/>
  <c r="H9" i="46"/>
  <c r="H10" i="46"/>
  <c r="H11" i="46"/>
  <c r="H12" i="46"/>
  <c r="H13" i="46"/>
  <c r="H14" i="46"/>
  <c r="H15" i="46"/>
  <c r="H16" i="46"/>
  <c r="H17" i="46"/>
  <c r="H18" i="46"/>
  <c r="H19" i="46"/>
  <c r="H6" i="46"/>
  <c r="H10" i="30"/>
  <c r="H19" i="30"/>
  <c r="B73" i="21"/>
  <c r="I135" i="59" l="1"/>
  <c r="AB5" i="59"/>
  <c r="AC6" i="59"/>
  <c r="AC10" i="59"/>
  <c r="AB13" i="59"/>
  <c r="AC16" i="59"/>
  <c r="AB35" i="59"/>
  <c r="AC51" i="59"/>
  <c r="AE51" i="59" s="1"/>
  <c r="AG51" i="59" s="1"/>
  <c r="AN51" i="59" s="1"/>
  <c r="AB56" i="59"/>
  <c r="AR65" i="59"/>
  <c r="AB71" i="59"/>
  <c r="AE71" i="59" s="1"/>
  <c r="AG71" i="59" s="1"/>
  <c r="AN71" i="59" s="1"/>
  <c r="AB74" i="59"/>
  <c r="AB75" i="59"/>
  <c r="AF75" i="59" s="1"/>
  <c r="AC78" i="59"/>
  <c r="AG78" i="59" s="1"/>
  <c r="AN78" i="59" s="1"/>
  <c r="AB81" i="59"/>
  <c r="AF81" i="59" s="1"/>
  <c r="AC103" i="59"/>
  <c r="AE103" i="59" s="1"/>
  <c r="AG103" i="59" s="1"/>
  <c r="AN103" i="59" s="1"/>
  <c r="AC106" i="59"/>
  <c r="AR109" i="59"/>
  <c r="AB117" i="59"/>
  <c r="AB121" i="59"/>
  <c r="AF121" i="59" s="1"/>
  <c r="AE106" i="59"/>
  <c r="AG106" i="59" s="1"/>
  <c r="AN106" i="59" s="1"/>
  <c r="AM16" i="59"/>
  <c r="AP16" i="59" s="1"/>
  <c r="AR18" i="59"/>
  <c r="AC21" i="59"/>
  <c r="AC25" i="59"/>
  <c r="AB28" i="59"/>
  <c r="AF28" i="59" s="1"/>
  <c r="AB32" i="59"/>
  <c r="AF32" i="59" s="1"/>
  <c r="AB44" i="59"/>
  <c r="AB50" i="59"/>
  <c r="AC50" i="59"/>
  <c r="AG50" i="59" s="1"/>
  <c r="AN50" i="59" s="1"/>
  <c r="AB53" i="59"/>
  <c r="AE53" i="59" s="1"/>
  <c r="AG53" i="59" s="1"/>
  <c r="AN53" i="59" s="1"/>
  <c r="AC56" i="59"/>
  <c r="AG56" i="59" s="1"/>
  <c r="AN56" i="59" s="1"/>
  <c r="AC62" i="59"/>
  <c r="AB63" i="59"/>
  <c r="AE63" i="59" s="1"/>
  <c r="AG63" i="59" s="1"/>
  <c r="AN63" i="59" s="1"/>
  <c r="AC64" i="59"/>
  <c r="AC71" i="59"/>
  <c r="AC74" i="59"/>
  <c r="AC75" i="59"/>
  <c r="AC81" i="59"/>
  <c r="AR82" i="59"/>
  <c r="AB95" i="59"/>
  <c r="AB108" i="59"/>
  <c r="AC117" i="59"/>
  <c r="AG117" i="59" s="1"/>
  <c r="AN117" i="59" s="1"/>
  <c r="AB130" i="59"/>
  <c r="AC9" i="59"/>
  <c r="AB73" i="59"/>
  <c r="AE73" i="59" s="1"/>
  <c r="AB77" i="59"/>
  <c r="AF77" i="59" s="1"/>
  <c r="AC95" i="59"/>
  <c r="AE95" i="59" s="1"/>
  <c r="AG95" i="59" s="1"/>
  <c r="AN95" i="59" s="1"/>
  <c r="AB102" i="59"/>
  <c r="AB105" i="59"/>
  <c r="AC108" i="59"/>
  <c r="AG108" i="59" s="1"/>
  <c r="AN108" i="59" s="1"/>
  <c r="AC114" i="59"/>
  <c r="AB120" i="59"/>
  <c r="AF120" i="59" s="1"/>
  <c r="AB124" i="59"/>
  <c r="AF124" i="59" s="1"/>
  <c r="AC125" i="59"/>
  <c r="AB129" i="59"/>
  <c r="AF129" i="59" s="1"/>
  <c r="AB12" i="59"/>
  <c r="AC20" i="59"/>
  <c r="AG20" i="59" s="1"/>
  <c r="AN20" i="59" s="1"/>
  <c r="AB31" i="59"/>
  <c r="AF31" i="59" s="1"/>
  <c r="AB34" i="59"/>
  <c r="AB40" i="59"/>
  <c r="AE40" i="59" s="1"/>
  <c r="AG40" i="59" s="1"/>
  <c r="AN40" i="59" s="1"/>
  <c r="AB55" i="59"/>
  <c r="AE55" i="59" s="1"/>
  <c r="AG55" i="59" s="1"/>
  <c r="AN55" i="59" s="1"/>
  <c r="AB58" i="59"/>
  <c r="AE58" i="59" s="1"/>
  <c r="AG58" i="59" s="1"/>
  <c r="AN58" i="59" s="1"/>
  <c r="AB62" i="59"/>
  <c r="AE62" i="59" s="1"/>
  <c r="AG62" i="59" s="1"/>
  <c r="AN62" i="59" s="1"/>
  <c r="AC77" i="59"/>
  <c r="AG77" i="59" s="1"/>
  <c r="AN77" i="59" s="1"/>
  <c r="AB83" i="59"/>
  <c r="AF83" i="59" s="1"/>
  <c r="AM83" i="59" s="1"/>
  <c r="AC86" i="59"/>
  <c r="AG86" i="59" s="1"/>
  <c r="AN86" i="59" s="1"/>
  <c r="AB89" i="59"/>
  <c r="AF89" i="59" s="1"/>
  <c r="AB94" i="59"/>
  <c r="AC105" i="59"/>
  <c r="AB110" i="59"/>
  <c r="AF110" i="59" s="1"/>
  <c r="AB119" i="59"/>
  <c r="AF119" i="59" s="1"/>
  <c r="AR122" i="59"/>
  <c r="AC124" i="59"/>
  <c r="AM125" i="59"/>
  <c r="AR127" i="59"/>
  <c r="AC12" i="59"/>
  <c r="AG12" i="59" s="1"/>
  <c r="AN12" i="59" s="1"/>
  <c r="AB19" i="59"/>
  <c r="AF19" i="59" s="1"/>
  <c r="AC31" i="59"/>
  <c r="AE31" i="59" s="1"/>
  <c r="AG31" i="59" s="1"/>
  <c r="AN31" i="59" s="1"/>
  <c r="AC40" i="59"/>
  <c r="AB49" i="59"/>
  <c r="AB52" i="59"/>
  <c r="AC55" i="59"/>
  <c r="AC58" i="59"/>
  <c r="AB69" i="59"/>
  <c r="AE69" i="59" s="1"/>
  <c r="AG69" i="59" s="1"/>
  <c r="AN69" i="59" s="1"/>
  <c r="AC85" i="59"/>
  <c r="AB98" i="59"/>
  <c r="AF98" i="59" s="1"/>
  <c r="AB104" i="59"/>
  <c r="AF104" i="59" s="1"/>
  <c r="AM104" i="59" s="1"/>
  <c r="AR111" i="59"/>
  <c r="AB113" i="59"/>
  <c r="AF113" i="59" s="1"/>
  <c r="AR120" i="59"/>
  <c r="AB128" i="59"/>
  <c r="AR129" i="59"/>
  <c r="AE6" i="59"/>
  <c r="AG6" i="59" s="1"/>
  <c r="AN6" i="59" s="1"/>
  <c r="AC53" i="59"/>
  <c r="AB67" i="59"/>
  <c r="AF67" i="59" s="1"/>
  <c r="N135" i="59"/>
  <c r="AR12" i="59"/>
  <c r="AC19" i="59"/>
  <c r="AB36" i="59"/>
  <c r="AE36" i="59" s="1"/>
  <c r="AC49" i="59"/>
  <c r="AC52" i="59"/>
  <c r="AB57" i="59"/>
  <c r="AF57" i="59" s="1"/>
  <c r="AC69" i="59"/>
  <c r="AR70" i="59"/>
  <c r="AB72" i="59"/>
  <c r="AB93" i="59"/>
  <c r="AC107" i="59"/>
  <c r="AB118" i="59"/>
  <c r="AC128" i="59"/>
  <c r="AC131" i="59"/>
  <c r="AG131" i="59" s="1"/>
  <c r="AN131" i="59" s="1"/>
  <c r="AB20" i="59"/>
  <c r="AF20" i="59" s="1"/>
  <c r="AC44" i="59"/>
  <c r="AB86" i="59"/>
  <c r="AF86" i="59" s="1"/>
  <c r="F135" i="59"/>
  <c r="AL135" i="59"/>
  <c r="AC7" i="59"/>
  <c r="AC11" i="59"/>
  <c r="AG11" i="59" s="1"/>
  <c r="AN11" i="59" s="1"/>
  <c r="AC18" i="59"/>
  <c r="AG18" i="59" s="1"/>
  <c r="AN18" i="59" s="1"/>
  <c r="AB22" i="59"/>
  <c r="AE22" i="59" s="1"/>
  <c r="AB30" i="59"/>
  <c r="AB33" i="59"/>
  <c r="AF33" i="59" s="1"/>
  <c r="AR35" i="59"/>
  <c r="AC36" i="59"/>
  <c r="AG36" i="59" s="1"/>
  <c r="AN36" i="59" s="1"/>
  <c r="AB54" i="59"/>
  <c r="AE54" i="59" s="1"/>
  <c r="AG54" i="59" s="1"/>
  <c r="AN54" i="59" s="1"/>
  <c r="AR59" i="59"/>
  <c r="AC66" i="59"/>
  <c r="AC79" i="59"/>
  <c r="AG79" i="59" s="1"/>
  <c r="AN79" i="59" s="1"/>
  <c r="AB88" i="59"/>
  <c r="AB115" i="59"/>
  <c r="AF72" i="59"/>
  <c r="AF17" i="59"/>
  <c r="AF48" i="59"/>
  <c r="AE48" i="59"/>
  <c r="AG48" i="59" s="1"/>
  <c r="AN48" i="59" s="1"/>
  <c r="AF5" i="59"/>
  <c r="AE5" i="59"/>
  <c r="AF12" i="59"/>
  <c r="AE12" i="59"/>
  <c r="AF22" i="59"/>
  <c r="AC48" i="59"/>
  <c r="AF102" i="59"/>
  <c r="AC4" i="59"/>
  <c r="AC5" i="59"/>
  <c r="AG5" i="59" s="1"/>
  <c r="AN5" i="59" s="1"/>
  <c r="AB7" i="59"/>
  <c r="AB15" i="59"/>
  <c r="AC33" i="59"/>
  <c r="AG33" i="59" s="1"/>
  <c r="AN33" i="59" s="1"/>
  <c r="AF36" i="59"/>
  <c r="AF117" i="59"/>
  <c r="AE117" i="59"/>
  <c r="AF55" i="59"/>
  <c r="AF6" i="59"/>
  <c r="AM28" i="59"/>
  <c r="AF52" i="59"/>
  <c r="AE52" i="59"/>
  <c r="AG52" i="59" s="1"/>
  <c r="AN52" i="59" s="1"/>
  <c r="E135" i="59"/>
  <c r="M135" i="59"/>
  <c r="U135" i="59"/>
  <c r="AD4" i="59"/>
  <c r="AB8" i="59"/>
  <c r="AB14" i="59"/>
  <c r="AC15" i="59"/>
  <c r="AG15" i="59" s="1"/>
  <c r="AN15" i="59" s="1"/>
  <c r="AM19" i="59"/>
  <c r="AB21" i="59"/>
  <c r="AC32" i="59"/>
  <c r="AG32" i="59" s="1"/>
  <c r="AN32" i="59" s="1"/>
  <c r="AR33" i="59"/>
  <c r="AF54" i="59"/>
  <c r="AB107" i="59"/>
  <c r="AF29" i="59"/>
  <c r="AE29" i="59"/>
  <c r="AF30" i="59"/>
  <c r="AE30" i="59"/>
  <c r="AG30" i="59" s="1"/>
  <c r="AN30" i="59" s="1"/>
  <c r="AH86" i="59"/>
  <c r="AM86" i="59"/>
  <c r="AP86" i="59" s="1"/>
  <c r="V135" i="59"/>
  <c r="AR4" i="59"/>
  <c r="AC8" i="59"/>
  <c r="AG8" i="59" s="1"/>
  <c r="AN8" i="59" s="1"/>
  <c r="AB9" i="59"/>
  <c r="AB10" i="59"/>
  <c r="AB11" i="59"/>
  <c r="AF13" i="59"/>
  <c r="AE13" i="59"/>
  <c r="AG13" i="59" s="1"/>
  <c r="AN13" i="59" s="1"/>
  <c r="AC14" i="59"/>
  <c r="AF40" i="59"/>
  <c r="AF50" i="59"/>
  <c r="AE50" i="59"/>
  <c r="AF51" i="59"/>
  <c r="AM75" i="59"/>
  <c r="AR8" i="59"/>
  <c r="AC13" i="59"/>
  <c r="AF35" i="59"/>
  <c r="AF56" i="59"/>
  <c r="AK135" i="59"/>
  <c r="AF34" i="59"/>
  <c r="AE44" i="59"/>
  <c r="AG44" i="59" s="1"/>
  <c r="AN44" i="59" s="1"/>
  <c r="AF44" i="59"/>
  <c r="AE49" i="59"/>
  <c r="AG49" i="59" s="1"/>
  <c r="AN49" i="59" s="1"/>
  <c r="AF49" i="59"/>
  <c r="AF53" i="59"/>
  <c r="AB59" i="59"/>
  <c r="AF69" i="59"/>
  <c r="AF96" i="59"/>
  <c r="G135" i="59"/>
  <c r="O135" i="59"/>
  <c r="W135" i="59"/>
  <c r="AC17" i="59"/>
  <c r="AE17" i="59" s="1"/>
  <c r="AG17" i="59" s="1"/>
  <c r="AN17" i="59" s="1"/>
  <c r="AC24" i="59"/>
  <c r="AC28" i="59"/>
  <c r="AG28" i="59" s="1"/>
  <c r="AN28" i="59" s="1"/>
  <c r="AE28" i="59"/>
  <c r="AB39" i="59"/>
  <c r="AB43" i="59"/>
  <c r="AB47" i="59"/>
  <c r="AR50" i="59"/>
  <c r="AC59" i="59"/>
  <c r="AG59" i="59" s="1"/>
  <c r="AN59" i="59" s="1"/>
  <c r="AF94" i="59"/>
  <c r="AE94" i="59"/>
  <c r="AF103" i="59"/>
  <c r="AC67" i="59"/>
  <c r="AC72" i="59"/>
  <c r="AG72" i="59" s="1"/>
  <c r="AN72" i="59" s="1"/>
  <c r="H135" i="59"/>
  <c r="P135" i="59"/>
  <c r="X135" i="59"/>
  <c r="AB27" i="59"/>
  <c r="AR28" i="59"/>
  <c r="AC35" i="59"/>
  <c r="AG35" i="59" s="1"/>
  <c r="AN35" i="59" s="1"/>
  <c r="AC39" i="59"/>
  <c r="AC43" i="59"/>
  <c r="AC47" i="59"/>
  <c r="AG47" i="59" s="1"/>
  <c r="AN47" i="59" s="1"/>
  <c r="AE120" i="59"/>
  <c r="AB24" i="59"/>
  <c r="Q135" i="59"/>
  <c r="Y135" i="59"/>
  <c r="AB16" i="59"/>
  <c r="AB23" i="59"/>
  <c r="AC27" i="59"/>
  <c r="AB38" i="59"/>
  <c r="AB42" i="59"/>
  <c r="AB46" i="59"/>
  <c r="AR47" i="59"/>
  <c r="AB64" i="59"/>
  <c r="AB79" i="59"/>
  <c r="AF88" i="59"/>
  <c r="AE88" i="59"/>
  <c r="AF112" i="59"/>
  <c r="AE112" i="59"/>
  <c r="AG112" i="59" s="1"/>
  <c r="AN112" i="59" s="1"/>
  <c r="AF130" i="59"/>
  <c r="J135" i="59"/>
  <c r="R135" i="59"/>
  <c r="Z135" i="59"/>
  <c r="AC23" i="59"/>
  <c r="AB26" i="59"/>
  <c r="AC38" i="59"/>
  <c r="AC42" i="59"/>
  <c r="AC46" i="59"/>
  <c r="AF63" i="59"/>
  <c r="AB70" i="59"/>
  <c r="AE86" i="59"/>
  <c r="AM89" i="59"/>
  <c r="K135" i="59"/>
  <c r="S135" i="59"/>
  <c r="AA135" i="59"/>
  <c r="AC26" i="59"/>
  <c r="AB37" i="59"/>
  <c r="AB41" i="59"/>
  <c r="AB45" i="59"/>
  <c r="AC57" i="59"/>
  <c r="AB68" i="59"/>
  <c r="AC70" i="59"/>
  <c r="AG70" i="59" s="1"/>
  <c r="AN70" i="59" s="1"/>
  <c r="AB76" i="59"/>
  <c r="AB78" i="59"/>
  <c r="AF108" i="59"/>
  <c r="AE108" i="59"/>
  <c r="AF115" i="59"/>
  <c r="AE115" i="59"/>
  <c r="D135" i="59"/>
  <c r="L135" i="59"/>
  <c r="T135" i="59"/>
  <c r="AB4" i="59"/>
  <c r="AJ135" i="59"/>
  <c r="AB18" i="59"/>
  <c r="AB25" i="59"/>
  <c r="AC34" i="59"/>
  <c r="AE34" i="59" s="1"/>
  <c r="AG34" i="59" s="1"/>
  <c r="AN34" i="59" s="1"/>
  <c r="AC37" i="59"/>
  <c r="AC41" i="59"/>
  <c r="AC45" i="59"/>
  <c r="AC60" i="59"/>
  <c r="AB66" i="59"/>
  <c r="AC68" i="59"/>
  <c r="AF73" i="59"/>
  <c r="AC96" i="59"/>
  <c r="AG96" i="59" s="1"/>
  <c r="AN96" i="59" s="1"/>
  <c r="AB114" i="59"/>
  <c r="AB65" i="59"/>
  <c r="AC82" i="59"/>
  <c r="AG82" i="59" s="1"/>
  <c r="AN82" i="59" s="1"/>
  <c r="AC109" i="59"/>
  <c r="AG109" i="59" s="1"/>
  <c r="AN109" i="59" s="1"/>
  <c r="AF93" i="59"/>
  <c r="AE93" i="59"/>
  <c r="AG93" i="59" s="1"/>
  <c r="AN93" i="59" s="1"/>
  <c r="AF95" i="59"/>
  <c r="AC102" i="59"/>
  <c r="AG102" i="59" s="1"/>
  <c r="AN102" i="59" s="1"/>
  <c r="AF106" i="59"/>
  <c r="AM121" i="59"/>
  <c r="AP121" i="59" s="1"/>
  <c r="AH121" i="59"/>
  <c r="AB61" i="59"/>
  <c r="AE113" i="59"/>
  <c r="AG113" i="59" s="1"/>
  <c r="AN113" i="59" s="1"/>
  <c r="AB60" i="59"/>
  <c r="AB80" i="59"/>
  <c r="AB84" i="59"/>
  <c r="AB87" i="59"/>
  <c r="AC89" i="59"/>
  <c r="AE89" i="59"/>
  <c r="AG89" i="59" s="1"/>
  <c r="AN89" i="59" s="1"/>
  <c r="AE91" i="59"/>
  <c r="AG91" i="59" s="1"/>
  <c r="AN91" i="59" s="1"/>
  <c r="AP91" i="59" s="1"/>
  <c r="AB92" i="59"/>
  <c r="AC94" i="59"/>
  <c r="AG94" i="59" s="1"/>
  <c r="AN94" i="59" s="1"/>
  <c r="AF100" i="59"/>
  <c r="AC113" i="59"/>
  <c r="AF118" i="59"/>
  <c r="AC80" i="59"/>
  <c r="AE83" i="59"/>
  <c r="AG83" i="59" s="1"/>
  <c r="AN83" i="59" s="1"/>
  <c r="AP83" i="59" s="1"/>
  <c r="AB85" i="59"/>
  <c r="AP85" i="59"/>
  <c r="AC87" i="59"/>
  <c r="AB90" i="59"/>
  <c r="AC92" i="59"/>
  <c r="AG92" i="59" s="1"/>
  <c r="AN92" i="59" s="1"/>
  <c r="AE98" i="59"/>
  <c r="AG98" i="59" s="1"/>
  <c r="AN98" i="59" s="1"/>
  <c r="AF105" i="59"/>
  <c r="AE105" i="59"/>
  <c r="AG105" i="59" s="1"/>
  <c r="AN105" i="59" s="1"/>
  <c r="AC112" i="59"/>
  <c r="AB116" i="59"/>
  <c r="AM124" i="59"/>
  <c r="AB82" i="59"/>
  <c r="AC88" i="59"/>
  <c r="AG88" i="59" s="1"/>
  <c r="AN88" i="59" s="1"/>
  <c r="AC90" i="59"/>
  <c r="AC116" i="59"/>
  <c r="AB109" i="59"/>
  <c r="AC123" i="59"/>
  <c r="AC98" i="59"/>
  <c r="AC100" i="59"/>
  <c r="AE100" i="59" s="1"/>
  <c r="AG100" i="59" s="1"/>
  <c r="AN100" i="59" s="1"/>
  <c r="AC110" i="59"/>
  <c r="AG110" i="59" s="1"/>
  <c r="AN110" i="59" s="1"/>
  <c r="AB125" i="59"/>
  <c r="AC129" i="59"/>
  <c r="AG129" i="59" s="1"/>
  <c r="AN129" i="59" s="1"/>
  <c r="AC118" i="59"/>
  <c r="AE118" i="59" s="1"/>
  <c r="AG118" i="59" s="1"/>
  <c r="AN118" i="59" s="1"/>
  <c r="AC121" i="59"/>
  <c r="AE121" i="59" s="1"/>
  <c r="AB122" i="59"/>
  <c r="AB126" i="59"/>
  <c r="AB131" i="59"/>
  <c r="AB132" i="59"/>
  <c r="AB97" i="59"/>
  <c r="AB99" i="59"/>
  <c r="AB101" i="59"/>
  <c r="AR108" i="59"/>
  <c r="AB111" i="59"/>
  <c r="AC119" i="59"/>
  <c r="AG119" i="59" s="1"/>
  <c r="AN119" i="59" s="1"/>
  <c r="AC122" i="59"/>
  <c r="AG122" i="59" s="1"/>
  <c r="AN122" i="59" s="1"/>
  <c r="AP125" i="59"/>
  <c r="AC126" i="59"/>
  <c r="AB127" i="59"/>
  <c r="AC130" i="59"/>
  <c r="AE130" i="59" s="1"/>
  <c r="AG130" i="59" s="1"/>
  <c r="AN130" i="59" s="1"/>
  <c r="AB133" i="59"/>
  <c r="AC97" i="59"/>
  <c r="AC99" i="59"/>
  <c r="AC101" i="59"/>
  <c r="AG101" i="59" s="1"/>
  <c r="AN101" i="59" s="1"/>
  <c r="AC111" i="59"/>
  <c r="AG111" i="59" s="1"/>
  <c r="AN111" i="59" s="1"/>
  <c r="AB123" i="59"/>
  <c r="AC127" i="59"/>
  <c r="AG127" i="59" s="1"/>
  <c r="AN127" i="59" s="1"/>
  <c r="AC133" i="59"/>
  <c r="AB134" i="59"/>
  <c r="G91" i="38"/>
  <c r="E32" i="1"/>
  <c r="AF62" i="59" l="1"/>
  <c r="AM62" i="59" s="1"/>
  <c r="AP62" i="59" s="1"/>
  <c r="AM81" i="59"/>
  <c r="AE77" i="59"/>
  <c r="AE124" i="59"/>
  <c r="AG124" i="59" s="1"/>
  <c r="AE57" i="59"/>
  <c r="AG57" i="59" s="1"/>
  <c r="AN57" i="59" s="1"/>
  <c r="AP89" i="59"/>
  <c r="AF71" i="59"/>
  <c r="AE67" i="59"/>
  <c r="AG67" i="59" s="1"/>
  <c r="AN67" i="59" s="1"/>
  <c r="AE125" i="59"/>
  <c r="AH89" i="59"/>
  <c r="AE75" i="59"/>
  <c r="AG75" i="59" s="1"/>
  <c r="AF58" i="59"/>
  <c r="AM58" i="59" s="1"/>
  <c r="AP58" i="59" s="1"/>
  <c r="AF128" i="59"/>
  <c r="AE128" i="59"/>
  <c r="AG128" i="59" s="1"/>
  <c r="AN128" i="59" s="1"/>
  <c r="AE74" i="59"/>
  <c r="AE96" i="59"/>
  <c r="AE104" i="59"/>
  <c r="AG104" i="59" s="1"/>
  <c r="AP28" i="59"/>
  <c r="AE20" i="59"/>
  <c r="AE19" i="59"/>
  <c r="AG19" i="59" s="1"/>
  <c r="AE81" i="59"/>
  <c r="AG81" i="59" s="1"/>
  <c r="AN81" i="59" s="1"/>
  <c r="AE85" i="59"/>
  <c r="AE16" i="59"/>
  <c r="AE56" i="59"/>
  <c r="AH106" i="59"/>
  <c r="AM106" i="59"/>
  <c r="AP106" i="59" s="1"/>
  <c r="AF39" i="59"/>
  <c r="AE39" i="59"/>
  <c r="AG39" i="59" s="1"/>
  <c r="AN39" i="59" s="1"/>
  <c r="AM33" i="59"/>
  <c r="AP33" i="59" s="1"/>
  <c r="AS33" i="59" s="1"/>
  <c r="AH33" i="59"/>
  <c r="AF26" i="59"/>
  <c r="AE26" i="59"/>
  <c r="AG26" i="59" s="1"/>
  <c r="AN26" i="59" s="1"/>
  <c r="AM96" i="59"/>
  <c r="AP96" i="59" s="1"/>
  <c r="AS96" i="59" s="1"/>
  <c r="AH96" i="59"/>
  <c r="AH98" i="59"/>
  <c r="AM98" i="59"/>
  <c r="AP98" i="59" s="1"/>
  <c r="AM35" i="59"/>
  <c r="AP35" i="59" s="1"/>
  <c r="AS35" i="59" s="1"/>
  <c r="AH35" i="59"/>
  <c r="AF92" i="59"/>
  <c r="AE92" i="59"/>
  <c r="AH129" i="59"/>
  <c r="AM129" i="59"/>
  <c r="AP129" i="59" s="1"/>
  <c r="AS129" i="59" s="1"/>
  <c r="AM53" i="59"/>
  <c r="AP53" i="59" s="1"/>
  <c r="AH53" i="59"/>
  <c r="AM54" i="59"/>
  <c r="AP54" i="59" s="1"/>
  <c r="AH54" i="59"/>
  <c r="AM71" i="59"/>
  <c r="AP71" i="59" s="1"/>
  <c r="AH71" i="59"/>
  <c r="AH112" i="59"/>
  <c r="AM112" i="59"/>
  <c r="AP112" i="59" s="1"/>
  <c r="AS28" i="59"/>
  <c r="AE133" i="59"/>
  <c r="AG133" i="59" s="1"/>
  <c r="AN133" i="59" s="1"/>
  <c r="AF133" i="59"/>
  <c r="AE7" i="59"/>
  <c r="AG7" i="59" s="1"/>
  <c r="AN7" i="59" s="1"/>
  <c r="AF7" i="59"/>
  <c r="AF78" i="59"/>
  <c r="AE78" i="59"/>
  <c r="AE24" i="59"/>
  <c r="AG24" i="59" s="1"/>
  <c r="AN24" i="59" s="1"/>
  <c r="AF24" i="59"/>
  <c r="AM56" i="59"/>
  <c r="AP56" i="59" s="1"/>
  <c r="AS56" i="59" s="1"/>
  <c r="AH56" i="59"/>
  <c r="AD135" i="59"/>
  <c r="AO4" i="59"/>
  <c r="AO135" i="59" s="1"/>
  <c r="AE127" i="59"/>
  <c r="AF127" i="59"/>
  <c r="AM57" i="59"/>
  <c r="AF123" i="59"/>
  <c r="AE123" i="59"/>
  <c r="AG123" i="59" s="1"/>
  <c r="AN123" i="59" s="1"/>
  <c r="AE116" i="59"/>
  <c r="AG116" i="59" s="1"/>
  <c r="AN116" i="59" s="1"/>
  <c r="AF116" i="59"/>
  <c r="AF11" i="59"/>
  <c r="AE11" i="59"/>
  <c r="AM110" i="59"/>
  <c r="AP110" i="59" s="1"/>
  <c r="AS110" i="59" s="1"/>
  <c r="AH110" i="59"/>
  <c r="AM36" i="59"/>
  <c r="AP36" i="59" s="1"/>
  <c r="AH36" i="59"/>
  <c r="AH102" i="59"/>
  <c r="AM102" i="59"/>
  <c r="AP102" i="59" s="1"/>
  <c r="AH113" i="59"/>
  <c r="AM113" i="59"/>
  <c r="AP113" i="59" s="1"/>
  <c r="AH108" i="59"/>
  <c r="AM108" i="59"/>
  <c r="AP108" i="59" s="1"/>
  <c r="AS108" i="59" s="1"/>
  <c r="AR135" i="59"/>
  <c r="AF101" i="59"/>
  <c r="AE101" i="59"/>
  <c r="AB135" i="59"/>
  <c r="AF4" i="59"/>
  <c r="AE4" i="59"/>
  <c r="AH49" i="59"/>
  <c r="AM49" i="59"/>
  <c r="AP49" i="59" s="1"/>
  <c r="AM30" i="59"/>
  <c r="AP30" i="59" s="1"/>
  <c r="AH30" i="59"/>
  <c r="AH5" i="59"/>
  <c r="AM5" i="59"/>
  <c r="AP5" i="59" s="1"/>
  <c r="AS5" i="59" s="1"/>
  <c r="AF99" i="59"/>
  <c r="AE99" i="59"/>
  <c r="AG99" i="59" s="1"/>
  <c r="AN99" i="59" s="1"/>
  <c r="AE41" i="59"/>
  <c r="AG41" i="59" s="1"/>
  <c r="AN41" i="59" s="1"/>
  <c r="AF41" i="59"/>
  <c r="AF27" i="59"/>
  <c r="AE27" i="59"/>
  <c r="AG27" i="59" s="1"/>
  <c r="AN27" i="59" s="1"/>
  <c r="AM51" i="59"/>
  <c r="AP51" i="59" s="1"/>
  <c r="AH51" i="59"/>
  <c r="AF65" i="59"/>
  <c r="AE65" i="59"/>
  <c r="AE37" i="59"/>
  <c r="AG37" i="59" s="1"/>
  <c r="AN37" i="59" s="1"/>
  <c r="AF37" i="59"/>
  <c r="AF38" i="59"/>
  <c r="AE38" i="59"/>
  <c r="AG38" i="59" s="1"/>
  <c r="AN38" i="59" s="1"/>
  <c r="AM94" i="59"/>
  <c r="AP94" i="59" s="1"/>
  <c r="AH94" i="59"/>
  <c r="AH67" i="59"/>
  <c r="AM67" i="59"/>
  <c r="AF114" i="59"/>
  <c r="AE114" i="59"/>
  <c r="AG114" i="59" s="1"/>
  <c r="AN114" i="59" s="1"/>
  <c r="AF131" i="59"/>
  <c r="AE131" i="59"/>
  <c r="AF84" i="59"/>
  <c r="AE84" i="59"/>
  <c r="AM93" i="59"/>
  <c r="AP93" i="59" s="1"/>
  <c r="AH93" i="59"/>
  <c r="AE68" i="59"/>
  <c r="AG68" i="59" s="1"/>
  <c r="AN68" i="59" s="1"/>
  <c r="AF68" i="59"/>
  <c r="AH63" i="59"/>
  <c r="AM63" i="59"/>
  <c r="AP63" i="59" s="1"/>
  <c r="AF23" i="59"/>
  <c r="AE23" i="59"/>
  <c r="AG23" i="59" s="1"/>
  <c r="AN23" i="59" s="1"/>
  <c r="AH69" i="59"/>
  <c r="AM69" i="59"/>
  <c r="AP69" i="59" s="1"/>
  <c r="AM34" i="59"/>
  <c r="AP34" i="59" s="1"/>
  <c r="AH34" i="59"/>
  <c r="AM40" i="59"/>
  <c r="AP40" i="59" s="1"/>
  <c r="AH40" i="59"/>
  <c r="AF10" i="59"/>
  <c r="AE10" i="59"/>
  <c r="AG10" i="59" s="1"/>
  <c r="AN10" i="59" s="1"/>
  <c r="AH77" i="59"/>
  <c r="AM77" i="59"/>
  <c r="AP77" i="59" s="1"/>
  <c r="AE110" i="59"/>
  <c r="AM55" i="59"/>
  <c r="AP55" i="59" s="1"/>
  <c r="AH55" i="59"/>
  <c r="AH20" i="59"/>
  <c r="AM20" i="59"/>
  <c r="AP20" i="59" s="1"/>
  <c r="AS20" i="59" s="1"/>
  <c r="AH17" i="59"/>
  <c r="AM17" i="59"/>
  <c r="AP17" i="59" s="1"/>
  <c r="AE82" i="59"/>
  <c r="AF82" i="59"/>
  <c r="AF66" i="59"/>
  <c r="AE66" i="59"/>
  <c r="AG66" i="59" s="1"/>
  <c r="AN66" i="59" s="1"/>
  <c r="AE8" i="59"/>
  <c r="AF8" i="59"/>
  <c r="AE45" i="59"/>
  <c r="AG45" i="59" s="1"/>
  <c r="AN45" i="59" s="1"/>
  <c r="AF45" i="59"/>
  <c r="AF109" i="59"/>
  <c r="AE109" i="59"/>
  <c r="AH83" i="59"/>
  <c r="AC135" i="59"/>
  <c r="AG4" i="59"/>
  <c r="AF70" i="59"/>
  <c r="AE70" i="59"/>
  <c r="AH88" i="59"/>
  <c r="AM88" i="59"/>
  <c r="AP88" i="59" s="1"/>
  <c r="AH44" i="59"/>
  <c r="AM44" i="59"/>
  <c r="AP44" i="59" s="1"/>
  <c r="AE35" i="59"/>
  <c r="AH29" i="59"/>
  <c r="AM29" i="59"/>
  <c r="AP29" i="59" s="1"/>
  <c r="AS29" i="59" s="1"/>
  <c r="AH48" i="59"/>
  <c r="AM48" i="59"/>
  <c r="AP48" i="59" s="1"/>
  <c r="AF87" i="59"/>
  <c r="AE87" i="59"/>
  <c r="AG87" i="59" s="1"/>
  <c r="AN87" i="59" s="1"/>
  <c r="AE126" i="59"/>
  <c r="AG126" i="59" s="1"/>
  <c r="AN126" i="59" s="1"/>
  <c r="AF126" i="59"/>
  <c r="AH105" i="59"/>
  <c r="AM105" i="59"/>
  <c r="AP105" i="59" s="1"/>
  <c r="AH100" i="59"/>
  <c r="AM100" i="59"/>
  <c r="AP100" i="59" s="1"/>
  <c r="AF80" i="59"/>
  <c r="AE80" i="59"/>
  <c r="AG80" i="59" s="1"/>
  <c r="AN80" i="59" s="1"/>
  <c r="AE119" i="59"/>
  <c r="AH91" i="59"/>
  <c r="AM73" i="59"/>
  <c r="AP73" i="59" s="1"/>
  <c r="AH73" i="59"/>
  <c r="AF25" i="59"/>
  <c r="AE25" i="59"/>
  <c r="AG25" i="59" s="1"/>
  <c r="AN25" i="59" s="1"/>
  <c r="AH115" i="59"/>
  <c r="AM115" i="59"/>
  <c r="AP115" i="59" s="1"/>
  <c r="AF79" i="59"/>
  <c r="AE79" i="59"/>
  <c r="AF47" i="59"/>
  <c r="AE47" i="59"/>
  <c r="AE59" i="59"/>
  <c r="AF59" i="59"/>
  <c r="AF9" i="59"/>
  <c r="AE9" i="59"/>
  <c r="AG9" i="59" s="1"/>
  <c r="AN9" i="59" s="1"/>
  <c r="AH58" i="59"/>
  <c r="AF107" i="59"/>
  <c r="AE107" i="59"/>
  <c r="AG107" i="59" s="1"/>
  <c r="AN107" i="59" s="1"/>
  <c r="AM52" i="59"/>
  <c r="AP52" i="59" s="1"/>
  <c r="AH52" i="59"/>
  <c r="AE32" i="59"/>
  <c r="AM72" i="59"/>
  <c r="AP72" i="59" s="1"/>
  <c r="AH72" i="59"/>
  <c r="AH103" i="59"/>
  <c r="AM103" i="59"/>
  <c r="AP103" i="59" s="1"/>
  <c r="AM31" i="59"/>
  <c r="AP31" i="59" s="1"/>
  <c r="AH31" i="59"/>
  <c r="AF46" i="59"/>
  <c r="AE46" i="59"/>
  <c r="AG46" i="59" s="1"/>
  <c r="AN46" i="59" s="1"/>
  <c r="AH12" i="59"/>
  <c r="AM12" i="59"/>
  <c r="AP12" i="59" s="1"/>
  <c r="AS12" i="59" s="1"/>
  <c r="AF76" i="59"/>
  <c r="AE76" i="59"/>
  <c r="AG76" i="59" s="1"/>
  <c r="AN76" i="59" s="1"/>
  <c r="AF42" i="59"/>
  <c r="AE42" i="59"/>
  <c r="AG42" i="59" s="1"/>
  <c r="AN42" i="59" s="1"/>
  <c r="AH28" i="59"/>
  <c r="AF97" i="59"/>
  <c r="AE97" i="59"/>
  <c r="AG97" i="59" s="1"/>
  <c r="AN97" i="59" s="1"/>
  <c r="AH118" i="59"/>
  <c r="AM118" i="59"/>
  <c r="AP118" i="59" s="1"/>
  <c r="AF61" i="59"/>
  <c r="AE61" i="59"/>
  <c r="AG61" i="59" s="1"/>
  <c r="AN61" i="59" s="1"/>
  <c r="AM95" i="59"/>
  <c r="AP95" i="59" s="1"/>
  <c r="AH95" i="59"/>
  <c r="AM120" i="59"/>
  <c r="AP120" i="59" s="1"/>
  <c r="AS120" i="59" s="1"/>
  <c r="AH120" i="59"/>
  <c r="AM13" i="59"/>
  <c r="AP13" i="59" s="1"/>
  <c r="AH13" i="59"/>
  <c r="AF21" i="59"/>
  <c r="AE21" i="59"/>
  <c r="AG21" i="59" s="1"/>
  <c r="AN21" i="59" s="1"/>
  <c r="AM6" i="59"/>
  <c r="AP6" i="59" s="1"/>
  <c r="AH6" i="59"/>
  <c r="AE102" i="59"/>
  <c r="AF132" i="59"/>
  <c r="AE132" i="59"/>
  <c r="AF90" i="59"/>
  <c r="AE90" i="59"/>
  <c r="AG90" i="59" s="1"/>
  <c r="AN90" i="59" s="1"/>
  <c r="AH50" i="59"/>
  <c r="AM50" i="59"/>
  <c r="AP50" i="59" s="1"/>
  <c r="AS50" i="59" s="1"/>
  <c r="AE134" i="59"/>
  <c r="AG134" i="59" s="1"/>
  <c r="AN134" i="59" s="1"/>
  <c r="AF134" i="59"/>
  <c r="AF111" i="59"/>
  <c r="AE111" i="59"/>
  <c r="AE122" i="59"/>
  <c r="AF122" i="59"/>
  <c r="AE60" i="59"/>
  <c r="AG60" i="59" s="1"/>
  <c r="AN60" i="59" s="1"/>
  <c r="AF60" i="59"/>
  <c r="AH119" i="59"/>
  <c r="AM119" i="59"/>
  <c r="AP119" i="59" s="1"/>
  <c r="AS119" i="59" s="1"/>
  <c r="AE129" i="59"/>
  <c r="AE18" i="59"/>
  <c r="AF18" i="59"/>
  <c r="AH62" i="59"/>
  <c r="AH130" i="59"/>
  <c r="AM130" i="59"/>
  <c r="AP130" i="59" s="1"/>
  <c r="AS130" i="59" s="1"/>
  <c r="AF64" i="59"/>
  <c r="AE64" i="59"/>
  <c r="AG64" i="59" s="1"/>
  <c r="AN64" i="59" s="1"/>
  <c r="AF43" i="59"/>
  <c r="AE43" i="59"/>
  <c r="AG43" i="59" s="1"/>
  <c r="AN43" i="59" s="1"/>
  <c r="AF14" i="59"/>
  <c r="AE14" i="59"/>
  <c r="AG14" i="59" s="1"/>
  <c r="AN14" i="59" s="1"/>
  <c r="AE33" i="59"/>
  <c r="AH117" i="59"/>
  <c r="AM117" i="59"/>
  <c r="AP117" i="59" s="1"/>
  <c r="AF15" i="59"/>
  <c r="AE15" i="59"/>
  <c r="AM22" i="59"/>
  <c r="AP22" i="59" s="1"/>
  <c r="AS22" i="59" s="1"/>
  <c r="AH22" i="59"/>
  <c r="AM32" i="59"/>
  <c r="AP32" i="59" s="1"/>
  <c r="AH32" i="59"/>
  <c r="AE72" i="59"/>
  <c r="E41" i="1"/>
  <c r="AM128" i="59" l="1"/>
  <c r="AP128" i="59" s="1"/>
  <c r="AH128" i="59"/>
  <c r="AN19" i="59"/>
  <c r="AP19" i="59" s="1"/>
  <c r="AH19" i="59"/>
  <c r="AH57" i="59"/>
  <c r="AN75" i="59"/>
  <c r="AP75" i="59" s="1"/>
  <c r="AH75" i="59"/>
  <c r="AP57" i="59"/>
  <c r="AP81" i="59"/>
  <c r="AP67" i="59"/>
  <c r="AN104" i="59"/>
  <c r="AP104" i="59" s="1"/>
  <c r="AH104" i="59"/>
  <c r="AN124" i="59"/>
  <c r="AP124" i="59" s="1"/>
  <c r="AH124" i="59"/>
  <c r="AH81" i="59"/>
  <c r="AM59" i="59"/>
  <c r="AP59" i="59" s="1"/>
  <c r="AH59" i="59"/>
  <c r="AH25" i="59"/>
  <c r="AM25" i="59"/>
  <c r="AP25" i="59" s="1"/>
  <c r="AM26" i="59"/>
  <c r="AP26" i="59" s="1"/>
  <c r="AH26" i="59"/>
  <c r="AH10" i="59"/>
  <c r="AM10" i="59"/>
  <c r="AP10" i="59" s="1"/>
  <c r="AH84" i="59"/>
  <c r="AM84" i="59"/>
  <c r="AP84" i="59" s="1"/>
  <c r="AM38" i="59"/>
  <c r="AP38" i="59" s="1"/>
  <c r="AH38" i="59"/>
  <c r="AH123" i="59"/>
  <c r="AM123" i="59"/>
  <c r="AP123" i="59" s="1"/>
  <c r="AM45" i="59"/>
  <c r="AP45" i="59" s="1"/>
  <c r="AH45" i="59"/>
  <c r="AH65" i="59"/>
  <c r="AM65" i="59"/>
  <c r="AP65" i="59" s="1"/>
  <c r="AS65" i="59" s="1"/>
  <c r="AM14" i="59"/>
  <c r="AP14" i="59" s="1"/>
  <c r="AH14" i="59"/>
  <c r="AH92" i="59"/>
  <c r="AM92" i="59"/>
  <c r="AP92" i="59" s="1"/>
  <c r="AS92" i="59" s="1"/>
  <c r="AM42" i="59"/>
  <c r="AP42" i="59" s="1"/>
  <c r="AH42" i="59"/>
  <c r="AH70" i="59"/>
  <c r="AM70" i="59"/>
  <c r="AP70" i="59" s="1"/>
  <c r="AS70" i="59" s="1"/>
  <c r="AM61" i="59"/>
  <c r="AP61" i="59" s="1"/>
  <c r="AH61" i="59"/>
  <c r="AH107" i="59"/>
  <c r="AM107" i="59"/>
  <c r="AP107" i="59" s="1"/>
  <c r="AM15" i="59"/>
  <c r="AP15" i="59" s="1"/>
  <c r="AS15" i="59" s="1"/>
  <c r="AH15" i="59"/>
  <c r="AH90" i="59"/>
  <c r="AM90" i="59"/>
  <c r="AP90" i="59" s="1"/>
  <c r="AH76" i="59"/>
  <c r="AM76" i="59"/>
  <c r="AP76" i="59" s="1"/>
  <c r="AM126" i="59"/>
  <c r="AP126" i="59" s="1"/>
  <c r="AH126" i="59"/>
  <c r="AH27" i="59"/>
  <c r="AM27" i="59"/>
  <c r="AP27" i="59" s="1"/>
  <c r="AM79" i="59"/>
  <c r="AP79" i="59" s="1"/>
  <c r="AS79" i="59" s="1"/>
  <c r="AH79" i="59"/>
  <c r="AH66" i="59"/>
  <c r="AM66" i="59"/>
  <c r="AP66" i="59" s="1"/>
  <c r="AH68" i="59"/>
  <c r="AM68" i="59"/>
  <c r="AP68" i="59" s="1"/>
  <c r="AM37" i="59"/>
  <c r="AP37" i="59" s="1"/>
  <c r="AH37" i="59"/>
  <c r="AM41" i="59"/>
  <c r="AP41" i="59" s="1"/>
  <c r="AH41" i="59"/>
  <c r="AM24" i="59"/>
  <c r="AP24" i="59" s="1"/>
  <c r="AH24" i="59"/>
  <c r="AH39" i="59"/>
  <c r="AM39" i="59"/>
  <c r="AP39" i="59" s="1"/>
  <c r="AM60" i="59"/>
  <c r="AP60" i="59" s="1"/>
  <c r="AH60" i="59"/>
  <c r="AM46" i="59"/>
  <c r="AP46" i="59" s="1"/>
  <c r="AH46" i="59"/>
  <c r="AF135" i="59"/>
  <c r="AH4" i="59"/>
  <c r="AM4" i="59"/>
  <c r="AH78" i="59"/>
  <c r="AM78" i="59"/>
  <c r="AP78" i="59" s="1"/>
  <c r="AS78" i="59" s="1"/>
  <c r="AM7" i="59"/>
  <c r="AP7" i="59" s="1"/>
  <c r="AH7" i="59"/>
  <c r="AM8" i="59"/>
  <c r="AP8" i="59" s="1"/>
  <c r="AS8" i="59" s="1"/>
  <c r="AH8" i="59"/>
  <c r="AH23" i="59"/>
  <c r="AM23" i="59"/>
  <c r="AP23" i="59" s="1"/>
  <c r="AM122" i="59"/>
  <c r="AP122" i="59" s="1"/>
  <c r="AS122" i="59" s="1"/>
  <c r="AH122" i="59"/>
  <c r="AH47" i="59"/>
  <c r="AM47" i="59"/>
  <c r="AP47" i="59" s="1"/>
  <c r="AS47" i="59" s="1"/>
  <c r="AG135" i="59"/>
  <c r="AN4" i="59"/>
  <c r="AM133" i="59"/>
  <c r="AP133" i="59" s="1"/>
  <c r="AH133" i="59"/>
  <c r="AH64" i="59"/>
  <c r="AM64" i="59"/>
  <c r="AP64" i="59" s="1"/>
  <c r="AM111" i="59"/>
  <c r="AP111" i="59" s="1"/>
  <c r="AS111" i="59" s="1"/>
  <c r="AH111" i="59"/>
  <c r="AM132" i="59"/>
  <c r="AP132" i="59" s="1"/>
  <c r="AS132" i="59" s="1"/>
  <c r="AH132" i="59"/>
  <c r="AM82" i="59"/>
  <c r="AP82" i="59" s="1"/>
  <c r="AS82" i="59" s="1"/>
  <c r="AH82" i="59"/>
  <c r="AH114" i="59"/>
  <c r="AM114" i="59"/>
  <c r="AP114" i="59" s="1"/>
  <c r="AM99" i="59"/>
  <c r="AP99" i="59" s="1"/>
  <c r="AH99" i="59"/>
  <c r="AH11" i="59"/>
  <c r="AM11" i="59"/>
  <c r="AP11" i="59" s="1"/>
  <c r="AS11" i="59" s="1"/>
  <c r="AH116" i="59"/>
  <c r="AM116" i="59"/>
  <c r="AP116" i="59" s="1"/>
  <c r="AM18" i="59"/>
  <c r="AP18" i="59" s="1"/>
  <c r="AS18" i="59" s="1"/>
  <c r="AV18" i="59" s="1"/>
  <c r="AH18" i="59"/>
  <c r="AM21" i="59"/>
  <c r="AP21" i="59" s="1"/>
  <c r="AH21" i="59"/>
  <c r="AM101" i="59"/>
  <c r="AP101" i="59" s="1"/>
  <c r="AS101" i="59" s="1"/>
  <c r="AH101" i="59"/>
  <c r="AH43" i="59"/>
  <c r="AM43" i="59"/>
  <c r="AP43" i="59" s="1"/>
  <c r="AM131" i="59"/>
  <c r="AP131" i="59" s="1"/>
  <c r="AH131" i="59"/>
  <c r="AM134" i="59"/>
  <c r="AP134" i="59" s="1"/>
  <c r="AH134" i="59"/>
  <c r="AM97" i="59"/>
  <c r="AP97" i="59" s="1"/>
  <c r="AH97" i="59"/>
  <c r="AH9" i="59"/>
  <c r="AM9" i="59"/>
  <c r="AP9" i="59" s="1"/>
  <c r="AM80" i="59"/>
  <c r="AP80" i="59" s="1"/>
  <c r="AH80" i="59"/>
  <c r="AM87" i="59"/>
  <c r="AP87" i="59" s="1"/>
  <c r="AH87" i="59"/>
  <c r="AM109" i="59"/>
  <c r="AP109" i="59" s="1"/>
  <c r="AS109" i="59" s="1"/>
  <c r="AH109" i="59"/>
  <c r="AE135" i="59"/>
  <c r="AM127" i="59"/>
  <c r="AP127" i="59" s="1"/>
  <c r="AS127" i="59" s="1"/>
  <c r="AH127" i="59"/>
  <c r="AN135" i="59" l="1"/>
  <c r="AH135" i="59"/>
  <c r="AM135" i="59"/>
  <c r="AP4" i="59"/>
  <c r="AX59" i="59"/>
  <c r="AS59" i="59"/>
  <c r="AP135" i="59" l="1"/>
  <c r="AS4" i="59"/>
  <c r="AS135" i="59" s="1"/>
  <c r="AR138" i="59" s="1"/>
  <c r="H33" i="45"/>
  <c r="B27" i="45"/>
  <c r="AR139" i="59" l="1"/>
  <c r="G16" i="30"/>
  <c r="C41" i="12"/>
  <c r="E41" i="12" s="1"/>
  <c r="B41" i="12"/>
  <c r="B9" i="12"/>
  <c r="C9" i="12"/>
  <c r="E9" i="12" s="1"/>
  <c r="F87" i="40"/>
  <c r="G19" i="30" l="1"/>
  <c r="I33" i="45" l="1"/>
  <c r="G24" i="50" l="1"/>
  <c r="H16" i="30"/>
  <c r="H9" i="30"/>
  <c r="F18" i="40" l="1"/>
  <c r="G69" i="39" l="1"/>
  <c r="B58" i="21" l="1"/>
  <c r="F20" i="21"/>
  <c r="F102" i="38" l="1"/>
  <c r="D27" i="12" l="1"/>
  <c r="E27" i="12" s="1"/>
  <c r="H41" i="45" l="1"/>
  <c r="I41" i="45"/>
  <c r="C37" i="45"/>
  <c r="D37" i="45"/>
  <c r="E37" i="45"/>
  <c r="F37" i="45"/>
  <c r="G37" i="45"/>
  <c r="F36" i="24"/>
  <c r="D36" i="24"/>
  <c r="H14" i="30"/>
  <c r="H8" i="30"/>
  <c r="I20" i="2"/>
  <c r="E78" i="40" l="1"/>
  <c r="E87" i="40" s="1"/>
  <c r="F58" i="21" l="1"/>
  <c r="C58" i="21"/>
  <c r="D58" i="21"/>
  <c r="E58" i="21" l="1"/>
  <c r="F17" i="40" l="1"/>
  <c r="B24" i="45" l="1"/>
  <c r="H39" i="45"/>
  <c r="H40" i="45"/>
  <c r="H28" i="45"/>
  <c r="I28" i="45"/>
  <c r="F56" i="12" l="1"/>
  <c r="E63" i="40" l="1"/>
  <c r="E56" i="40"/>
  <c r="E37" i="40"/>
  <c r="E16" i="40" s="1"/>
  <c r="F37" i="40"/>
  <c r="F16" i="40" s="1"/>
  <c r="F9" i="40" s="1"/>
  <c r="E66" i="21"/>
  <c r="E67" i="21"/>
  <c r="E68" i="21"/>
  <c r="E69" i="21"/>
  <c r="E70" i="21"/>
  <c r="E71" i="21"/>
  <c r="E72" i="21"/>
  <c r="G16" i="40" l="1"/>
  <c r="R19" i="50"/>
  <c r="O19" i="50"/>
  <c r="L19" i="50"/>
  <c r="J19" i="50"/>
  <c r="G19" i="50"/>
  <c r="E19" i="50"/>
  <c r="T18" i="50"/>
  <c r="T8" i="50"/>
  <c r="T19" i="50" l="1"/>
  <c r="C15" i="37"/>
  <c r="F41" i="38" l="1"/>
  <c r="F17" i="1"/>
  <c r="B17" i="1"/>
  <c r="F17" i="48"/>
  <c r="F19" i="24" l="1"/>
  <c r="C56" i="12"/>
  <c r="E56" i="12" s="1"/>
  <c r="F40" i="12"/>
  <c r="F39" i="12"/>
  <c r="F38" i="12"/>
  <c r="F37" i="12"/>
  <c r="F36" i="12"/>
  <c r="F35" i="12"/>
  <c r="F34" i="12"/>
  <c r="F33" i="12"/>
  <c r="F32" i="12"/>
  <c r="F8" i="12"/>
  <c r="F7" i="12"/>
  <c r="F6" i="12"/>
  <c r="F5" i="12"/>
  <c r="B11" i="8" l="1"/>
  <c r="E20" i="2" l="1"/>
  <c r="I38" i="2"/>
  <c r="I39" i="2" s="1"/>
  <c r="G9" i="30"/>
  <c r="G14" i="30" l="1"/>
  <c r="H38" i="2"/>
  <c r="G10" i="30"/>
  <c r="D32" i="1" l="1"/>
  <c r="E11" i="3"/>
  <c r="H5" i="52" l="1"/>
  <c r="H6" i="52"/>
  <c r="H7" i="52"/>
  <c r="H8" i="52"/>
  <c r="H9" i="52"/>
  <c r="H10" i="52"/>
  <c r="H11" i="52"/>
  <c r="H12" i="52"/>
  <c r="H13" i="52"/>
  <c r="H14" i="52"/>
  <c r="H15" i="52"/>
  <c r="H4" i="52"/>
  <c r="G16" i="52"/>
  <c r="F16" i="52"/>
  <c r="H16" i="52" l="1"/>
  <c r="G78" i="40"/>
  <c r="G77" i="40"/>
  <c r="G79" i="40"/>
  <c r="G80" i="40"/>
  <c r="G81" i="40"/>
  <c r="G82" i="40"/>
  <c r="G83" i="40"/>
  <c r="G84" i="40"/>
  <c r="G86" i="40"/>
  <c r="G93" i="40"/>
  <c r="G94" i="40"/>
  <c r="G95" i="40"/>
  <c r="G96" i="40"/>
  <c r="G98" i="40"/>
  <c r="G99" i="40"/>
  <c r="G100" i="40"/>
  <c r="G101" i="40"/>
  <c r="G102" i="40"/>
  <c r="G103" i="40"/>
  <c r="G104" i="40"/>
  <c r="G105" i="40"/>
  <c r="G76" i="40"/>
  <c r="G63" i="40"/>
  <c r="G59" i="40"/>
  <c r="E52" i="40"/>
  <c r="G54" i="40"/>
  <c r="E46" i="40"/>
  <c r="E9" i="40" s="1"/>
  <c r="G9" i="40" s="1"/>
  <c r="G17" i="40"/>
  <c r="F51" i="39"/>
  <c r="G49" i="39"/>
  <c r="F49" i="39"/>
  <c r="G45" i="39"/>
  <c r="F45" i="39"/>
  <c r="G41" i="39"/>
  <c r="F41" i="39"/>
  <c r="G135" i="38"/>
  <c r="G134" i="38"/>
  <c r="F135" i="38"/>
  <c r="F134" i="38"/>
  <c r="G46" i="38"/>
  <c r="F83" i="38"/>
  <c r="F46" i="38"/>
  <c r="F53" i="39" l="1"/>
  <c r="G53" i="39"/>
  <c r="G87" i="40"/>
  <c r="I40" i="45"/>
  <c r="I36" i="45"/>
  <c r="H36" i="45"/>
  <c r="I35" i="45"/>
  <c r="H35" i="45"/>
  <c r="I34" i="45"/>
  <c r="H34" i="45"/>
  <c r="I31" i="45"/>
  <c r="H31" i="45"/>
  <c r="I30" i="45"/>
  <c r="H30" i="45"/>
  <c r="H29" i="45"/>
  <c r="I29" i="45"/>
  <c r="D27" i="45"/>
  <c r="C27" i="45"/>
  <c r="H27" i="45" s="1"/>
  <c r="I26" i="45"/>
  <c r="H26" i="45"/>
  <c r="E27" i="45"/>
  <c r="G24" i="45"/>
  <c r="E24" i="45"/>
  <c r="D24" i="45"/>
  <c r="C24" i="45"/>
  <c r="I23" i="45"/>
  <c r="F24" i="45"/>
  <c r="I22" i="45"/>
  <c r="H22" i="45"/>
  <c r="I21" i="45"/>
  <c r="I20" i="45"/>
  <c r="H20" i="45"/>
  <c r="I19" i="45"/>
  <c r="H19" i="45"/>
  <c r="I18" i="45"/>
  <c r="H18" i="45"/>
  <c r="E17" i="45"/>
  <c r="C17" i="45"/>
  <c r="B17" i="45"/>
  <c r="H17" i="45" s="1"/>
  <c r="I16" i="45"/>
  <c r="H16" i="45"/>
  <c r="I15" i="45"/>
  <c r="H15" i="45"/>
  <c r="C14" i="45"/>
  <c r="B14" i="45"/>
  <c r="B32" i="45" s="1"/>
  <c r="I13" i="45"/>
  <c r="H13" i="45"/>
  <c r="I12" i="45"/>
  <c r="H12" i="45"/>
  <c r="C10" i="45"/>
  <c r="I10" i="45" s="1"/>
  <c r="I9" i="45"/>
  <c r="H9" i="45"/>
  <c r="I8" i="45"/>
  <c r="B10" i="45"/>
  <c r="H10" i="45" s="1"/>
  <c r="C7" i="45"/>
  <c r="B7" i="45"/>
  <c r="I6" i="45"/>
  <c r="H6" i="45"/>
  <c r="I5" i="45"/>
  <c r="H5" i="45"/>
  <c r="I4" i="45"/>
  <c r="H4" i="45"/>
  <c r="D32" i="45" l="1"/>
  <c r="D38" i="45" s="1"/>
  <c r="D42" i="45" s="1"/>
  <c r="H24" i="45"/>
  <c r="F32" i="45"/>
  <c r="F38" i="45" s="1"/>
  <c r="F42" i="45" s="1"/>
  <c r="G32" i="45"/>
  <c r="G38" i="45" s="1"/>
  <c r="G42" i="45" s="1"/>
  <c r="E32" i="45"/>
  <c r="E38" i="45" s="1"/>
  <c r="E42" i="45" s="1"/>
  <c r="C32" i="45"/>
  <c r="H37" i="45"/>
  <c r="B11" i="45"/>
  <c r="I37" i="45"/>
  <c r="I24" i="45"/>
  <c r="I17" i="45"/>
  <c r="C11" i="45"/>
  <c r="I27" i="45"/>
  <c r="H7" i="45"/>
  <c r="I7" i="45"/>
  <c r="H8" i="45"/>
  <c r="H14" i="45"/>
  <c r="I14" i="45"/>
  <c r="H23" i="45"/>
  <c r="C11" i="8"/>
  <c r="E11" i="8" s="1"/>
  <c r="E20" i="3"/>
  <c r="F9" i="3"/>
  <c r="F10" i="3"/>
  <c r="G38" i="2"/>
  <c r="E20" i="46"/>
  <c r="H32" i="45" l="1"/>
  <c r="I32" i="45"/>
  <c r="C38" i="45"/>
  <c r="C42" i="45" s="1"/>
  <c r="B38" i="45"/>
  <c r="B42" i="45" s="1"/>
  <c r="H11" i="45"/>
  <c r="I11" i="45"/>
  <c r="G65" i="39"/>
  <c r="G61" i="39"/>
  <c r="F61" i="39"/>
  <c r="F65" i="39"/>
  <c r="F69" i="39"/>
  <c r="G25" i="39"/>
  <c r="F25" i="39"/>
  <c r="G33" i="39"/>
  <c r="F33" i="39"/>
  <c r="I38" i="45" l="1"/>
  <c r="H38" i="45"/>
  <c r="G37" i="39"/>
  <c r="G72" i="39" s="1"/>
  <c r="G73" i="39" s="1"/>
  <c r="F37" i="39"/>
  <c r="F73" i="39" s="1"/>
  <c r="D73" i="21"/>
  <c r="D82" i="21" s="1"/>
  <c r="C73" i="21"/>
  <c r="C82" i="21" s="1"/>
  <c r="B82" i="21"/>
  <c r="E64" i="21"/>
  <c r="E73" i="21" s="1"/>
  <c r="D63" i="21"/>
  <c r="B63" i="21"/>
  <c r="D38" i="21"/>
  <c r="C38" i="21"/>
  <c r="B38" i="21"/>
  <c r="E38" i="21"/>
  <c r="D20" i="21"/>
  <c r="C20" i="21"/>
  <c r="B20" i="21"/>
  <c r="H42" i="45" l="1"/>
  <c r="E20" i="21"/>
  <c r="E39" i="21" s="1"/>
  <c r="B83" i="21"/>
  <c r="B39" i="21"/>
  <c r="F38" i="21"/>
  <c r="E82" i="21"/>
  <c r="E63" i="21"/>
  <c r="F63" i="21"/>
  <c r="D83" i="21"/>
  <c r="D39" i="21"/>
  <c r="F73" i="21"/>
  <c r="F82" i="21" s="1"/>
  <c r="C39" i="21"/>
  <c r="C63" i="21"/>
  <c r="C83" i="21" s="1"/>
  <c r="E83" i="21" l="1"/>
  <c r="F39" i="21"/>
  <c r="F83" i="21"/>
  <c r="C36" i="24"/>
  <c r="E36" i="24" s="1"/>
  <c r="B36" i="24"/>
  <c r="D19" i="24"/>
  <c r="C19" i="24"/>
  <c r="B19" i="24"/>
  <c r="D41" i="1"/>
  <c r="C32" i="1"/>
  <c r="C41" i="1" s="1"/>
  <c r="B32" i="1"/>
  <c r="B41" i="1" s="1"/>
  <c r="F32" i="1"/>
  <c r="F41" i="1" s="1"/>
  <c r="E20" i="1"/>
  <c r="E19" i="1"/>
  <c r="E18" i="1"/>
  <c r="D17" i="1"/>
  <c r="D23" i="1" s="1"/>
  <c r="C17" i="1"/>
  <c r="E17" i="1" s="1"/>
  <c r="B23" i="1"/>
  <c r="D17" i="48"/>
  <c r="C17" i="48"/>
  <c r="E17" i="48" s="1"/>
  <c r="B17" i="48"/>
  <c r="D9" i="48"/>
  <c r="C9" i="48"/>
  <c r="B9" i="48"/>
  <c r="B56" i="12"/>
  <c r="C37" i="12"/>
  <c r="E37" i="12" s="1"/>
  <c r="D18" i="8"/>
  <c r="C18" i="8"/>
  <c r="E18" i="8" s="1"/>
  <c r="B18" i="8"/>
  <c r="D11" i="8"/>
  <c r="C8" i="6"/>
  <c r="B8" i="6"/>
  <c r="D20" i="3"/>
  <c r="F20" i="3" s="1"/>
  <c r="C20" i="3"/>
  <c r="B20" i="3"/>
  <c r="G19" i="3"/>
  <c r="G15" i="3"/>
  <c r="G14" i="3"/>
  <c r="D11" i="3"/>
  <c r="C11" i="3"/>
  <c r="B11" i="3"/>
  <c r="G10" i="3"/>
  <c r="G9" i="3"/>
  <c r="G6" i="3"/>
  <c r="G17" i="30"/>
  <c r="E19" i="24" l="1"/>
  <c r="E23" i="1"/>
  <c r="G5" i="3"/>
  <c r="F11" i="3"/>
  <c r="D37" i="24"/>
  <c r="C23" i="1"/>
  <c r="C42" i="1" s="1"/>
  <c r="F23" i="1"/>
  <c r="G20" i="3"/>
  <c r="B37" i="24"/>
  <c r="D42" i="1"/>
  <c r="B42" i="1"/>
  <c r="G11" i="3"/>
  <c r="C37" i="24"/>
  <c r="G8" i="30"/>
  <c r="C20" i="2"/>
  <c r="C39" i="2" s="1"/>
  <c r="D20" i="2"/>
  <c r="G20" i="2"/>
  <c r="D24" i="2"/>
  <c r="D38" i="2" s="1"/>
  <c r="D35" i="2"/>
  <c r="C38" i="2"/>
  <c r="F38" i="2"/>
  <c r="D11" i="47"/>
  <c r="E37" i="24" l="1"/>
  <c r="D39" i="2"/>
  <c r="F37" i="24"/>
  <c r="G39" i="2"/>
  <c r="F20" i="2"/>
  <c r="F39" i="2" s="1"/>
  <c r="H20" i="2"/>
  <c r="E39" i="2"/>
  <c r="E42" i="1"/>
  <c r="F42" i="1"/>
  <c r="H39" i="2" l="1"/>
  <c r="G13" i="30"/>
  <c r="G18" i="30" s="1"/>
  <c r="G20" i="30" s="1"/>
  <c r="G35" i="46" l="1"/>
  <c r="F35" i="46"/>
  <c r="H35" i="46" s="1"/>
  <c r="E35" i="46"/>
  <c r="E44" i="46" s="1"/>
  <c r="G20" i="46"/>
  <c r="G25" i="46" s="1"/>
  <c r="F20" i="46"/>
  <c r="H20" i="46" s="1"/>
  <c r="E25" i="46"/>
  <c r="F25" i="46" l="1"/>
  <c r="H25" i="46" s="1"/>
  <c r="F44" i="46"/>
  <c r="H44" i="46"/>
  <c r="C8" i="30"/>
  <c r="I35" i="46"/>
  <c r="I44" i="46" s="1"/>
  <c r="C14" i="30"/>
  <c r="C17" i="30" s="1"/>
  <c r="G44" i="46"/>
  <c r="G45" i="46" s="1"/>
  <c r="E45" i="46"/>
  <c r="H45" i="46" l="1"/>
  <c r="F45" i="46"/>
  <c r="C13" i="30"/>
  <c r="C18" i="30" s="1"/>
  <c r="C20" i="30" s="1"/>
  <c r="I25" i="46" l="1"/>
  <c r="I45" i="46" s="1"/>
  <c r="F131" i="38"/>
  <c r="F127" i="38"/>
  <c r="F123" i="38"/>
  <c r="F117" i="38"/>
  <c r="F115" i="38"/>
  <c r="F111" i="38"/>
  <c r="F107" i="38"/>
  <c r="F101" i="38"/>
  <c r="F99" i="38"/>
  <c r="F95" i="38"/>
  <c r="F91" i="38"/>
  <c r="F87" i="38"/>
  <c r="F73" i="38"/>
  <c r="F72" i="38"/>
  <c r="F70" i="38"/>
  <c r="F66" i="38"/>
  <c r="F58" i="38"/>
  <c r="F59" i="38" s="1"/>
  <c r="F53" i="38"/>
  <c r="F52" i="38"/>
  <c r="F50" i="38"/>
  <c r="F42" i="38"/>
  <c r="F38" i="38"/>
  <c r="F34" i="38"/>
  <c r="F30" i="38"/>
  <c r="F26" i="38"/>
  <c r="F22" i="38"/>
  <c r="F18" i="38"/>
  <c r="F14" i="38"/>
  <c r="F136" i="38" l="1"/>
  <c r="F74" i="38"/>
  <c r="F103" i="38"/>
  <c r="F54" i="38"/>
  <c r="F119" i="38"/>
  <c r="F61" i="38"/>
  <c r="F62" i="38" s="1"/>
  <c r="F139" i="38" l="1"/>
  <c r="F140" i="38" s="1"/>
  <c r="G58" i="38"/>
  <c r="G59" i="38" s="1"/>
  <c r="G53" i="38"/>
  <c r="G52" i="38"/>
  <c r="G60" i="38" s="1"/>
  <c r="G50" i="38"/>
  <c r="G73" i="38"/>
  <c r="G72" i="38"/>
  <c r="G70" i="38"/>
  <c r="G66" i="38"/>
  <c r="G54" i="38" l="1"/>
  <c r="G74" i="38"/>
  <c r="G41" i="38" l="1"/>
  <c r="G61" i="38" s="1"/>
  <c r="G62" i="38" s="1"/>
  <c r="G38" i="38"/>
  <c r="G34" i="38"/>
  <c r="G30" i="38"/>
  <c r="G26" i="38"/>
  <c r="G22" i="38"/>
  <c r="G18" i="38"/>
  <c r="G14" i="38"/>
  <c r="G42" i="38" l="1"/>
  <c r="E97" i="40"/>
  <c r="G97" i="40" s="1"/>
  <c r="E92" i="40"/>
  <c r="G92" i="40" s="1"/>
  <c r="G56" i="40"/>
  <c r="G52" i="40"/>
  <c r="G50" i="40"/>
  <c r="G46" i="40"/>
  <c r="G45" i="40"/>
  <c r="G44" i="40"/>
  <c r="G43" i="40"/>
  <c r="F42" i="40"/>
  <c r="G41" i="40"/>
  <c r="G40" i="40"/>
  <c r="G39" i="40"/>
  <c r="G38" i="40"/>
  <c r="G35" i="40"/>
  <c r="G34" i="40"/>
  <c r="G33" i="40"/>
  <c r="G31" i="40"/>
  <c r="G30" i="40"/>
  <c r="G29" i="40"/>
  <c r="G28" i="40"/>
  <c r="G27" i="40"/>
  <c r="F26" i="40"/>
  <c r="E26" i="40"/>
  <c r="G24" i="40"/>
  <c r="G23" i="40"/>
  <c r="G22" i="40"/>
  <c r="G21" i="40"/>
  <c r="G20" i="40"/>
  <c r="G19" i="40"/>
  <c r="E18" i="40"/>
  <c r="G15" i="40"/>
  <c r="G14" i="40" s="1"/>
  <c r="F14" i="40"/>
  <c r="E14" i="40"/>
  <c r="G13" i="40"/>
  <c r="G12" i="40"/>
  <c r="F11" i="40"/>
  <c r="E11" i="40"/>
  <c r="G101" i="38"/>
  <c r="G117" i="38"/>
  <c r="G102" i="38"/>
  <c r="G131" i="38"/>
  <c r="G127" i="38"/>
  <c r="G115" i="38"/>
  <c r="G111" i="38"/>
  <c r="G107" i="38"/>
  <c r="G99" i="38"/>
  <c r="G95" i="38"/>
  <c r="G87" i="38"/>
  <c r="G83" i="38"/>
  <c r="G16" i="25"/>
  <c r="G17" i="25"/>
  <c r="G18" i="25"/>
  <c r="G15" i="25"/>
  <c r="G8" i="25"/>
  <c r="G9" i="25"/>
  <c r="G7" i="25"/>
  <c r="C10" i="25"/>
  <c r="C19" i="25"/>
  <c r="J11" i="25"/>
  <c r="J13" i="25" s="1"/>
  <c r="M52" i="20"/>
  <c r="M67" i="20" s="1"/>
  <c r="N38" i="20"/>
  <c r="K60" i="20"/>
  <c r="L60" i="20"/>
  <c r="F60" i="20"/>
  <c r="G60" i="20"/>
  <c r="H60" i="20"/>
  <c r="I60" i="20"/>
  <c r="J60" i="20"/>
  <c r="C60" i="20"/>
  <c r="D60" i="20"/>
  <c r="E60" i="20"/>
  <c r="B60" i="20"/>
  <c r="N61" i="20"/>
  <c r="N56" i="20"/>
  <c r="N53" i="20"/>
  <c r="N54" i="20"/>
  <c r="N55" i="20"/>
  <c r="N57" i="20"/>
  <c r="N58" i="20"/>
  <c r="N59" i="20"/>
  <c r="J46" i="20"/>
  <c r="J51" i="20" s="1"/>
  <c r="K46" i="20"/>
  <c r="K51" i="20" s="1"/>
  <c r="L46" i="20"/>
  <c r="L51" i="20" s="1"/>
  <c r="M46" i="20"/>
  <c r="M51" i="20" s="1"/>
  <c r="N34" i="20"/>
  <c r="N36" i="20"/>
  <c r="N37" i="20"/>
  <c r="N39" i="20"/>
  <c r="N40" i="20"/>
  <c r="N41" i="20"/>
  <c r="N42" i="20"/>
  <c r="N43" i="20"/>
  <c r="N44" i="20"/>
  <c r="N45" i="20"/>
  <c r="N47" i="20"/>
  <c r="N48" i="20"/>
  <c r="N49" i="20"/>
  <c r="N50" i="20"/>
  <c r="C46" i="20"/>
  <c r="C51" i="20" s="1"/>
  <c r="D46" i="20"/>
  <c r="D51" i="20" s="1"/>
  <c r="E46" i="20"/>
  <c r="E51" i="20" s="1"/>
  <c r="E67" i="20"/>
  <c r="F46" i="20"/>
  <c r="F51" i="20" s="1"/>
  <c r="G46" i="20"/>
  <c r="G51" i="20" s="1"/>
  <c r="H46" i="20"/>
  <c r="H51" i="20" s="1"/>
  <c r="H67" i="20"/>
  <c r="I46" i="20"/>
  <c r="I51" i="20" s="1"/>
  <c r="B46" i="20"/>
  <c r="B51" i="20" s="1"/>
  <c r="H19" i="20"/>
  <c r="N8" i="20"/>
  <c r="F19" i="25"/>
  <c r="E19" i="25"/>
  <c r="D19" i="25"/>
  <c r="B19" i="25"/>
  <c r="E10" i="25"/>
  <c r="B10" i="25"/>
  <c r="F10" i="25"/>
  <c r="D10" i="25"/>
  <c r="N5" i="20"/>
  <c r="D67" i="20"/>
  <c r="J67" i="20"/>
  <c r="B67" i="20"/>
  <c r="C67" i="20"/>
  <c r="F67" i="20"/>
  <c r="G67" i="20"/>
  <c r="I67" i="20"/>
  <c r="K67" i="20"/>
  <c r="L67" i="20"/>
  <c r="N66" i="20"/>
  <c r="N65" i="20"/>
  <c r="N64" i="20"/>
  <c r="N63" i="20"/>
  <c r="N62" i="20"/>
  <c r="B18" i="20"/>
  <c r="B32" i="20"/>
  <c r="C18" i="20"/>
  <c r="D18" i="20"/>
  <c r="D32" i="20"/>
  <c r="E18" i="20"/>
  <c r="E32" i="20"/>
  <c r="F18" i="20"/>
  <c r="G18" i="20"/>
  <c r="H18" i="20"/>
  <c r="I18" i="20"/>
  <c r="J18" i="20"/>
  <c r="K18" i="20"/>
  <c r="L18" i="20"/>
  <c r="M18" i="20"/>
  <c r="M32" i="20"/>
  <c r="K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L32" i="20"/>
  <c r="L33" i="20" s="1"/>
  <c r="J32" i="20"/>
  <c r="I32" i="20"/>
  <c r="G32" i="20"/>
  <c r="G33" i="20" s="1"/>
  <c r="F32" i="20"/>
  <c r="C32" i="20"/>
  <c r="N17" i="20"/>
  <c r="N16" i="20"/>
  <c r="N15" i="20"/>
  <c r="N14" i="20"/>
  <c r="N13" i="20"/>
  <c r="N12" i="20"/>
  <c r="N11" i="20"/>
  <c r="N10" i="20"/>
  <c r="N9" i="20"/>
  <c r="N7" i="20"/>
  <c r="N6" i="20"/>
  <c r="B12" i="17"/>
  <c r="G18" i="40" l="1"/>
  <c r="G11" i="40"/>
  <c r="G72" i="40"/>
  <c r="K33" i="20"/>
  <c r="M60" i="20"/>
  <c r="N52" i="20"/>
  <c r="N60" i="20" s="1"/>
  <c r="F33" i="20"/>
  <c r="J33" i="20"/>
  <c r="M33" i="20"/>
  <c r="D68" i="20"/>
  <c r="C33" i="20"/>
  <c r="B68" i="20"/>
  <c r="F68" i="20"/>
  <c r="C68" i="20"/>
  <c r="L68" i="20"/>
  <c r="K68" i="20"/>
  <c r="G32" i="40"/>
  <c r="G42" i="40"/>
  <c r="G37" i="40"/>
  <c r="B33" i="20"/>
  <c r="I68" i="20"/>
  <c r="N46" i="20"/>
  <c r="N51" i="20" s="1"/>
  <c r="G136" i="38"/>
  <c r="G119" i="38"/>
  <c r="G10" i="40"/>
  <c r="G19" i="25"/>
  <c r="M68" i="20"/>
  <c r="N18" i="20"/>
  <c r="H68" i="20"/>
  <c r="I33" i="20"/>
  <c r="D33" i="20"/>
  <c r="N67" i="20"/>
  <c r="E68" i="20"/>
  <c r="G26" i="40"/>
  <c r="G103" i="38"/>
  <c r="G68" i="20"/>
  <c r="J68" i="20"/>
  <c r="E33" i="20"/>
  <c r="H32" i="20"/>
  <c r="H33" i="20" s="1"/>
  <c r="N19" i="20"/>
  <c r="G10" i="25"/>
  <c r="N68" i="20" l="1"/>
  <c r="G139" i="38"/>
  <c r="G138" i="38"/>
  <c r="N32" i="20"/>
  <c r="N33" i="20" s="1"/>
  <c r="G140" i="38" l="1"/>
  <c r="H17" i="30"/>
</calcChain>
</file>

<file path=xl/sharedStrings.xml><?xml version="1.0" encoding="utf-8"?>
<sst xmlns="http://schemas.openxmlformats.org/spreadsheetml/2006/main" count="1633" uniqueCount="890">
  <si>
    <t>a helyi önkormányzatok általános működéséhez és ágazati feladataihoz kapcsolódó támogatások, a központi költségvetésből származó egyéb költségvetési támogatások</t>
  </si>
  <si>
    <t>nemzeti vagyonnal kapcsolatos bevételek</t>
  </si>
  <si>
    <t>a működési célú átvett pénzeszköz</t>
  </si>
  <si>
    <t>az európai uniós forrásból finanszírozott támogatással megvalósuló programok, projektek bevételei</t>
  </si>
  <si>
    <t>kapott kamatok működési célú</t>
  </si>
  <si>
    <t>kapott kamatok felhalmozáso célú</t>
  </si>
  <si>
    <t>MŰKÖDÉSI KÖLTSÉGVETÉS ÖSSZESEN</t>
  </si>
  <si>
    <t>FELHALMOZÁSI KÖLTSÉGVETÉS ÖSSZESEN</t>
  </si>
  <si>
    <t>központi költségvetésből származó egyéb felhalmozási célú  költségvetési támogatások</t>
  </si>
  <si>
    <t xml:space="preserve">Illetékek </t>
  </si>
  <si>
    <t>Pótlékok, bírságok</t>
  </si>
  <si>
    <t xml:space="preserve">Átengedett központi adók </t>
  </si>
  <si>
    <t>Irányító szervtől kapott működési célú támogatás</t>
  </si>
  <si>
    <t>Irányító szervtől kapott felhalmozási célú támogatás</t>
  </si>
  <si>
    <t>Kölcsön felvétele felhalmozási célra</t>
  </si>
  <si>
    <t xml:space="preserve">felhalmozási célú átvett pénzeszköz </t>
  </si>
  <si>
    <t xml:space="preserve">  általános tartalék</t>
  </si>
  <si>
    <t xml:space="preserve">  céltartalék</t>
  </si>
  <si>
    <t>KIADÁSOK MINDÖSSZESEN:</t>
  </si>
  <si>
    <t>felújítások</t>
  </si>
  <si>
    <t xml:space="preserve">beruházások </t>
  </si>
  <si>
    <t xml:space="preserve"> egyéb felhalmozási kiadások </t>
  </si>
  <si>
    <t>Kölcsönök nyújtása felhalmozási céllal</t>
  </si>
  <si>
    <t>Hitel törlesztése felhalmozási célra</t>
  </si>
  <si>
    <t>Kölcsönök törlesztése felhalmozási célra</t>
  </si>
  <si>
    <t xml:space="preserve"> Irányító szerv alá tartozó költségvetési szervnek folyósított felhalmozási támogatás</t>
  </si>
  <si>
    <t xml:space="preserve"> Irányító szerv alá tartozó költségvetési szervnek folyósított működési célú támogatás</t>
  </si>
  <si>
    <t>munkaadókat terhelő járulékok és szociális hozzájárulási adó</t>
  </si>
  <si>
    <t>dologi kiadások</t>
  </si>
  <si>
    <t>ellátottak pénzbeli juttatásai</t>
  </si>
  <si>
    <t>egyéb működési célú kiadások</t>
  </si>
  <si>
    <t>személyi juttatások</t>
  </si>
  <si>
    <t xml:space="preserve"> céltartalék felhalmozási célra</t>
  </si>
  <si>
    <t xml:space="preserve"> általános tartalék felhalmozási célra</t>
  </si>
  <si>
    <t xml:space="preserve">közhatalmi bevételek </t>
  </si>
  <si>
    <t>működési célú támogatás államháztartáson belülről</t>
  </si>
  <si>
    <t xml:space="preserve"> felhalmozási célú támogatás államháztartáson belülről </t>
  </si>
  <si>
    <t xml:space="preserve"> előző évi pénzmaradvány igénybevétele működési célra (finanszírozási c. bev.)</t>
  </si>
  <si>
    <t>Felhalmozási célú költségvetési bevételek összesen</t>
  </si>
  <si>
    <t>Működési célú költségvetési bevételek összesen</t>
  </si>
  <si>
    <t>Hitel felvétele felhalmozási célra (finanszírozási c. bev.)</t>
  </si>
  <si>
    <t>előző évi pénzmaradvány igénybevétele felhalmozási célra (finanszírozási c. bev.)</t>
  </si>
  <si>
    <t>Működési célú hiány</t>
  </si>
  <si>
    <t>Működési célú többlet</t>
  </si>
  <si>
    <t>Felhalmozási célú hiány</t>
  </si>
  <si>
    <t>Felhalmozási célú többlet</t>
  </si>
  <si>
    <t>BEVÉTELEK MINDÖSSZESEN</t>
  </si>
  <si>
    <t>megnevezés</t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</si>
  <si>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a helyi önkormányzat által a lakosságnak juttatott támogatások, szociális, rászorultsági jellegű ellátások</t>
    </r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</si>
  <si>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a működési célú átadott pénzeszköz</t>
    </r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</si>
  <si>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támogatásértékű működési kiadások (ÁHT-n belüli pénzeszköz átadások)</t>
    </r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</si>
  <si>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előző évi működési célú előirányzat-maradvány, pénzmaradvány átadás összesen</t>
    </r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</si>
  <si>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az európai uniós forrásból finanszírozott támogatással megvalósuló programok, projektek kiadásai, valamint a helyi önkormányzat ilyen projektekhez történő hozzájárulásai</t>
    </r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</si>
  <si>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a felhalmozási célú átadott pénzeszköz</t>
    </r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</si>
  <si>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támogatásértékű felhalmozási kiadások (ÁHT-n belüli pénzeszköz átadások)</t>
    </r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</si>
  <si>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előző évi felhalmozási célú előirányzat-maradvány, pénzmaradvány átadás</t>
    </r>
  </si>
  <si>
    <t>Finanszírozási kiadások összesen:</t>
  </si>
  <si>
    <t>Finanszírozási bevételek összesen:</t>
  </si>
  <si>
    <t xml:space="preserve">helyi adó bevételek </t>
  </si>
  <si>
    <t>Összesen:</t>
  </si>
  <si>
    <t>FELÚJÍTÁSOK ÖSSZESEN:</t>
  </si>
  <si>
    <t>Összesen</t>
  </si>
  <si>
    <t xml:space="preserve">EU Projekt megnevezése: </t>
  </si>
  <si>
    <t>Bevételek</t>
  </si>
  <si>
    <t>Következő évek</t>
  </si>
  <si>
    <t>EU forrás</t>
  </si>
  <si>
    <t>Egyéb forrás</t>
  </si>
  <si>
    <t>Saját forrás</t>
  </si>
  <si>
    <t>Kiadások</t>
  </si>
  <si>
    <t>személyi juttatások járulékai</t>
  </si>
  <si>
    <t>beruházások</t>
  </si>
  <si>
    <t>átadott pénzeszközök</t>
  </si>
  <si>
    <t>2013. ÉV</t>
  </si>
  <si>
    <t>2014. ÉV</t>
  </si>
  <si>
    <t>2015. ÉV</t>
  </si>
  <si>
    <t>Céltartalékok</t>
  </si>
  <si>
    <t>felhalmozási célú</t>
  </si>
  <si>
    <t>működési célú</t>
  </si>
  <si>
    <t>Céltartalék összesen:</t>
  </si>
  <si>
    <t>Általános tartalékok</t>
  </si>
  <si>
    <t>Általános tartalék összesen:</t>
  </si>
  <si>
    <t>Támogatásértékű működési bevétel központi költségvetési szervtől</t>
  </si>
  <si>
    <t xml:space="preserve">Támogatásértékű működési bevétel fejezeti kezelésű előirányzattól hazai programokra </t>
  </si>
  <si>
    <t xml:space="preserve">Támogatásértékű működési bevétel helyi önkormányzatoktól és költségvetési szerveiktől </t>
  </si>
  <si>
    <t xml:space="preserve">Támogatásértékű működési bevételek </t>
  </si>
  <si>
    <t xml:space="preserve">Támogatásértékű felhalmozási bevétel központi költségvetési szervtől </t>
  </si>
  <si>
    <t>Támogatásértékű felhalmozási bevétel fejezeti kezelésű előirányzattól hazai programokra</t>
  </si>
  <si>
    <t xml:space="preserve">Támogatásértékű felhalmozási bevétel társadalombiztosítási alaptól </t>
  </si>
  <si>
    <t xml:space="preserve">Támogatásértékű felhalmozási bevétel elkülönített állami pénzalaptól </t>
  </si>
  <si>
    <t xml:space="preserve">Támogatásértékű felhalmozási bevétel helyi önkormányzatoktól és költségvetési szerveiktől </t>
  </si>
  <si>
    <t>Támogatásértékű felhalmozási bevétel többcélú kistérségi társulástól</t>
  </si>
  <si>
    <t>Támogatásértékű felhalmozási bevétel országos nemzetiségi önkormányzatoktól</t>
  </si>
  <si>
    <t xml:space="preserve">Felhalmozási célú garancia- és kezességvállalásból származó megtérülések államháztartáson belülről </t>
  </si>
  <si>
    <t xml:space="preserve">Támogatásértékű felhalmozási bevételek </t>
  </si>
  <si>
    <t>felhalmozási bevétel</t>
  </si>
  <si>
    <t>fizikai állomány közalkalmazott</t>
  </si>
  <si>
    <t>szakmai állomány közalkalmazott</t>
  </si>
  <si>
    <t>fizikai állomány köztisztviselő</t>
  </si>
  <si>
    <t>szakmai állomány köztisztviselő</t>
  </si>
  <si>
    <t>fizikai állomány MT</t>
  </si>
  <si>
    <t>szakmai állomány MT</t>
  </si>
  <si>
    <t>közfoglalkoztatás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</si>
  <si>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</si>
  <si>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</si>
  <si>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</si>
  <si>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</si>
  <si>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</si>
  <si>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</si>
  <si>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</si>
  <si>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</si>
  <si>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</si>
  <si>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</si>
  <si>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</si>
  <si>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</si>
  <si>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 pénzügyi lízing lízingbevevői félként a lízingszerződésben kikötött tőkerész törlesztésére teljesített kiadások,</t>
  </si>
  <si>
    <t>a befektetési vagy forgatási célú hitelviszonyt megtestesítő  vásárlása a vételárban  elismert kamat kivételével,</t>
  </si>
  <si>
    <t>a szabad pénzeszközök betétként való elhelyezése</t>
  </si>
  <si>
    <t xml:space="preserve">a költségvetési szerv  kiadási és bevételi előirányzatainak különbségeként az  irányító szervi támogatásként folyósított támogatás kiutalása </t>
  </si>
  <si>
    <r>
      <t xml:space="preserve">a hosszú és rövid lejáratú hitel, kölcsön – ide értve a Stabilitási tv. 3. § (1) bekezdés </t>
    </r>
    <r>
      <rPr>
        <i/>
        <sz val="11"/>
        <rFont val="Bookman Old Style"/>
        <family val="1"/>
        <charset val="238"/>
      </rPr>
      <t>e)</t>
    </r>
    <r>
      <rPr>
        <sz val="11"/>
        <rFont val="Bookman Old Style"/>
        <family val="1"/>
        <charset val="238"/>
      </rPr>
      <t xml:space="preserve"> pontja szerinti ügyleteket is – tőkeösszegének törlesztése,</t>
    </r>
  </si>
  <si>
    <t>a befektetési vagy forgatási célú hitelviszonyt megtestesítő értékpapír kibocsátása, értékesítése, az eladási árban elismert kamat kivételével,</t>
  </si>
  <si>
    <t>a költségvetési szerv kiadási és bevételi előirányzatainak különbségeként az irányító szervi támogatásként folyósított támogatás  fizetési számlán történő jóváírása</t>
  </si>
  <si>
    <r>
      <t xml:space="preserve">a hosszú és rövid lejáratú hitel, kölcsön – ide értve a Stabilitási tv. 3. § (1) bekezdés </t>
    </r>
    <r>
      <rPr>
        <i/>
        <sz val="11"/>
        <rFont val="Bookman Old Style"/>
        <family val="1"/>
        <charset val="238"/>
      </rPr>
      <t>e)</t>
    </r>
    <r>
      <rPr>
        <sz val="11"/>
        <rFont val="Bookman Old Style"/>
        <family val="1"/>
        <charset val="238"/>
      </rPr>
      <t xml:space="preserve"> pontja szerinti ügyleteket is – felvétele </t>
    </r>
  </si>
  <si>
    <t>TÁRSULÁS ÖSSZESEN</t>
  </si>
  <si>
    <t>felhalmozási célú ÁFA bevételek</t>
  </si>
  <si>
    <t>intézményi működési bevételek, kamatbevételek</t>
  </si>
  <si>
    <t>általános tartalék</t>
  </si>
  <si>
    <t>általános</t>
  </si>
  <si>
    <t>2012. évi tagi tartozás</t>
  </si>
  <si>
    <t>KEOP 7.1.1.1 pályázat</t>
  </si>
  <si>
    <t>KEOP 7.1.1.1 / 09-11-2012-0001 pályázat</t>
  </si>
  <si>
    <t xml:space="preserve">felhalmozási célú támogatás államháztartáson belülről </t>
  </si>
  <si>
    <t>Felhalmozási célú ÁFA visszatérülés KEOP 7.1.1.1 pályázat</t>
  </si>
  <si>
    <t>Felhalmozási célú ÁFA visszatérülés KEOP 7.1.1.1 / 09-11-2012-0001 pályázat</t>
  </si>
  <si>
    <t>felhalmozási célú egyéb bevételek összesen:</t>
  </si>
  <si>
    <t>finanszírozási bevételként a költségvetési maradvány, vállalkozási maradvány felhasználása</t>
  </si>
  <si>
    <t>nincs</t>
  </si>
  <si>
    <t>NYUGAT-DUNÁNTÚLI REGIONÁLIS HULLADÉKGAZDÁLKODÁSI ÖNKORMÁNYZATI TÁRSULÁS</t>
  </si>
  <si>
    <t>2013. ÉVI LÉTSZÁM ELŐIRÁNYZATAI (E Ft)</t>
  </si>
  <si>
    <t>ELŐIRÁNYZAT FELHASZNÁLÁSI ÜTEMTERVE (E Ft)</t>
  </si>
  <si>
    <t>intézményi működési bevételek, kamat bevételek</t>
  </si>
  <si>
    <t>Megnevezés</t>
  </si>
  <si>
    <t>BERUHÁZÁSOK MINDÖSSZESEN</t>
  </si>
  <si>
    <t>keresetkiegészítés (utólagos térítés)</t>
  </si>
  <si>
    <t>Működési célú projekt KEOP-1.1.1/2F/09-11-2012-0001tájékoztatással, nyilvánossággal kapcsolatoks feladatok ellátása</t>
  </si>
  <si>
    <t>2014ÉV</t>
  </si>
  <si>
    <t>2016. ÉV</t>
  </si>
  <si>
    <t>előző év</t>
  </si>
  <si>
    <t>előző évek</t>
  </si>
  <si>
    <t>2014. ÉVI EU PROJEKTHEZ KAPCSOLÓDÓ BEVÉTELEI ÉS KIADÁSAI (E Ft)</t>
  </si>
  <si>
    <t>bruttó</t>
  </si>
  <si>
    <t>KEOP-1.1.1/2F/09-11-212-001 tájékoztatással, nyilvánossággal kapcsolatos feladatok ellátása</t>
  </si>
  <si>
    <t>Felhalmozási célú ÁFA visszatérülés KEOP 7.1.1.1 / 09-11-2012-0001 pályázat ford. áfa</t>
  </si>
  <si>
    <t>2013. évi tagi tartozás</t>
  </si>
  <si>
    <t xml:space="preserve">Támogatásértékű működési bevétel fejezeti kezelésű előirányzattól EU-s programokra és azok hazai társfinanszírozására KEOP7.1.1.1/09-11-2012-0001 PÁLY.támog. </t>
  </si>
  <si>
    <t>Támogatásértékű felhalmozási bevétel fejezeti kezelésű előirányzattól EU-s programokra és azok hazai társfinanszírozására  halasztott önerő</t>
  </si>
  <si>
    <t>működési célú ÁFA visszatérülés KEOP 7.1.1.1 pályázat</t>
  </si>
  <si>
    <t>KEOP működési célú ÁFA bevételek</t>
  </si>
  <si>
    <t>KEOP-1.1.1/2F/09-11-212-001 működési célú áfa bevétel</t>
  </si>
  <si>
    <t xml:space="preserve">2014.év mód. </t>
  </si>
  <si>
    <t>mellékszámítás</t>
  </si>
  <si>
    <t>mérnök</t>
  </si>
  <si>
    <t>projektmen.</t>
  </si>
  <si>
    <t>közbeszerzés</t>
  </si>
  <si>
    <t>tájékoztatás,nyilvánosság</t>
  </si>
  <si>
    <t>összesen</t>
  </si>
  <si>
    <t>áfával számolva</t>
  </si>
  <si>
    <t>működési célú ÁFA visszatérülés KEOP 7.1.1.1 / 09-11-2012-0001 pályázat ford. áfa</t>
  </si>
  <si>
    <t>működési célú egyéb bevételek összesen:</t>
  </si>
  <si>
    <t xml:space="preserve"> előző évi pénzmaradvány igénybevétele működési célra (finanszírozási c. bev.), KEOP pályázattal kapcsolatban</t>
  </si>
  <si>
    <t>B4</t>
  </si>
  <si>
    <t>B2</t>
  </si>
  <si>
    <t>B1</t>
  </si>
  <si>
    <t>B8</t>
  </si>
  <si>
    <t>K1</t>
  </si>
  <si>
    <t>K2</t>
  </si>
  <si>
    <t>K3</t>
  </si>
  <si>
    <t>K6</t>
  </si>
  <si>
    <t>Település megnevezése</t>
  </si>
  <si>
    <t>alapítói</t>
  </si>
  <si>
    <t>működési</t>
  </si>
  <si>
    <t>Bozzai</t>
  </si>
  <si>
    <t>Kemenespálfa</t>
  </si>
  <si>
    <t>Szombathely</t>
  </si>
  <si>
    <t>BEVÉTELEK</t>
  </si>
  <si>
    <t>KIADÁSOK</t>
  </si>
  <si>
    <t>bevételei</t>
  </si>
  <si>
    <t>kiadásai</t>
  </si>
  <si>
    <t xml:space="preserve">KÖLTSÉGVETÉSI BEVÉTELEK </t>
  </si>
  <si>
    <t>KÖLTSÉGVETÉSI KIADÁSOK</t>
  </si>
  <si>
    <t>Működési célú támogatások államháztartáson belülről</t>
  </si>
  <si>
    <t>Személyi juttatások</t>
  </si>
  <si>
    <t>B3</t>
  </si>
  <si>
    <t>Közhatalmi bevételek</t>
  </si>
  <si>
    <t>Munkaadókat terhelő járulékok és szociális hozzájárulási adó</t>
  </si>
  <si>
    <t>Működési bevétel</t>
  </si>
  <si>
    <t>Dologi kiadások</t>
  </si>
  <si>
    <t>B6</t>
  </si>
  <si>
    <t>Működési célú átvett pénzeszközök</t>
  </si>
  <si>
    <t>K4</t>
  </si>
  <si>
    <t>Ellátottak pénzbeli juttatásai</t>
  </si>
  <si>
    <t>K5</t>
  </si>
  <si>
    <t>Működési bevételek összesen</t>
  </si>
  <si>
    <t>Működési kiadások összesen</t>
  </si>
  <si>
    <t>Felhalmozási célú támogatások államháztartáson belülről</t>
  </si>
  <si>
    <t>Beruházások</t>
  </si>
  <si>
    <t>B5</t>
  </si>
  <si>
    <t>Felhalmozási bevételek</t>
  </si>
  <si>
    <t>K7</t>
  </si>
  <si>
    <t>Felújítások</t>
  </si>
  <si>
    <t>B7</t>
  </si>
  <si>
    <t>Felhalmozási célú átvett pénzeszközök</t>
  </si>
  <si>
    <t>K8</t>
  </si>
  <si>
    <t>Egyéb felhalmozási célú kiadások</t>
  </si>
  <si>
    <t>Felhalmozási bevételek összesen</t>
  </si>
  <si>
    <t>Felhalmozási kiadások összesen</t>
  </si>
  <si>
    <t>KÖLTSÉGVETÉSI BEVÉTELEK ÖSSZESEN</t>
  </si>
  <si>
    <t>KÖLTSÉGVETÉSI KIADÁSOK ÖSSZESEN</t>
  </si>
  <si>
    <t>Finanszírozási bevételek</t>
  </si>
  <si>
    <t>K9</t>
  </si>
  <si>
    <t>Finanszírozási kiadások</t>
  </si>
  <si>
    <t>MINDÖSSZESEN BEVÉTELEK</t>
  </si>
  <si>
    <t>MINDÖSSZESEN KIADÁSOK</t>
  </si>
  <si>
    <t>Nyugat-dunántúli Hulladékgazdálkodási Társulás</t>
  </si>
  <si>
    <t>Társulás</t>
  </si>
  <si>
    <t>ESZKÖZÖK</t>
  </si>
  <si>
    <t>ezer forintban</t>
  </si>
  <si>
    <t>zárómérleg</t>
  </si>
  <si>
    <t>Vagyoni értékű jogok</t>
  </si>
  <si>
    <t>intézmények</t>
  </si>
  <si>
    <t>társulás</t>
  </si>
  <si>
    <t>A/I/1.</t>
  </si>
  <si>
    <t>együtt</t>
  </si>
  <si>
    <t>Szellemi termékek</t>
  </si>
  <si>
    <t>A/I/2.</t>
  </si>
  <si>
    <t>Immateriális javak össz.</t>
  </si>
  <si>
    <t>A/I.</t>
  </si>
  <si>
    <t>Immateriális javak összesen</t>
  </si>
  <si>
    <t>Ingatlanok és kapcsolódó vagyoni értékű jogok</t>
  </si>
  <si>
    <t>A/II/1.</t>
  </si>
  <si>
    <t>Ingatlanok</t>
  </si>
  <si>
    <t>Gépek, berendezések, felszerelések, járművek</t>
  </si>
  <si>
    <t>A/II/2</t>
  </si>
  <si>
    <t>Tenyészállatok</t>
  </si>
  <si>
    <t>A/II/3.</t>
  </si>
  <si>
    <t>Beruházások, felújítások</t>
  </si>
  <si>
    <t>A/II/4</t>
  </si>
  <si>
    <t>Tárgyi eszközök össz.</t>
  </si>
  <si>
    <t xml:space="preserve">társulás </t>
  </si>
  <si>
    <t>A/II.</t>
  </si>
  <si>
    <t>Tartós részesedések</t>
  </si>
  <si>
    <t>A/III/1</t>
  </si>
  <si>
    <t xml:space="preserve">Tartós részesedések </t>
  </si>
  <si>
    <t>Tartós hitelviszonyt megtestesítő értékpapírok</t>
  </si>
  <si>
    <t>A/III/2.</t>
  </si>
  <si>
    <t>Befektetett pénzügyi eszk.összesen</t>
  </si>
  <si>
    <t>A/III.</t>
  </si>
  <si>
    <t>Koncesszióban, Vagyonkezelésbe adott eszközök</t>
  </si>
  <si>
    <t xml:space="preserve">A/IV. </t>
  </si>
  <si>
    <t>Koncesszióba, vagyonkezelésbe adott eszközök összesen</t>
  </si>
  <si>
    <t>Nemzeti Vagyonba tartozó Befektetett Eszközök összesen</t>
  </si>
  <si>
    <t>A.</t>
  </si>
  <si>
    <t>Készletek</t>
  </si>
  <si>
    <t>B/I.</t>
  </si>
  <si>
    <t>Értékpapírok</t>
  </si>
  <si>
    <t>B/II.</t>
  </si>
  <si>
    <t xml:space="preserve">Értékpapírok </t>
  </si>
  <si>
    <t>Nemzeti Vagyonba tartozó Forgóeszközök összesen</t>
  </si>
  <si>
    <t>B</t>
  </si>
  <si>
    <t>Nemzeti Vagyonba Tartozó Forgóeszközök összesen</t>
  </si>
  <si>
    <t>Hosszú lejáratú betétek</t>
  </si>
  <si>
    <t>C/I.</t>
  </si>
  <si>
    <t>Pénztárak, csekkek, betétkönyvek</t>
  </si>
  <si>
    <t>C/II.</t>
  </si>
  <si>
    <t>Forintszámlák</t>
  </si>
  <si>
    <t>C/III.</t>
  </si>
  <si>
    <t>Devizaszámlák</t>
  </si>
  <si>
    <t>C/IV.</t>
  </si>
  <si>
    <t>Idegen pénzeszközök</t>
  </si>
  <si>
    <t>C/V.</t>
  </si>
  <si>
    <t>Pénzeszközök összesen</t>
  </si>
  <si>
    <t>C</t>
  </si>
  <si>
    <t>Költségvetési évben esedékes követelések</t>
  </si>
  <si>
    <t>D/I.</t>
  </si>
  <si>
    <t>Költségvetési évet követően esedékes követelések</t>
  </si>
  <si>
    <t>D/II.</t>
  </si>
  <si>
    <t>Követelés jellegű sajátos elszámolások</t>
  </si>
  <si>
    <t>D/III.</t>
  </si>
  <si>
    <t>Követelések összesen</t>
  </si>
  <si>
    <t>D</t>
  </si>
  <si>
    <t>Egyéb sajátos eszközoldali elszámolások</t>
  </si>
  <si>
    <t>E</t>
  </si>
  <si>
    <t>Eredményszemléletű bevételek aktív időbeli elhatárolása</t>
  </si>
  <si>
    <t>F/1.</t>
  </si>
  <si>
    <t>Költségek, ráfordítások aktív időbeli elhatárolása</t>
  </si>
  <si>
    <t>F/2.</t>
  </si>
  <si>
    <t>Halasztott ráfordítások</t>
  </si>
  <si>
    <t>önkormányzat</t>
  </si>
  <si>
    <t>Aktív időbeli elhatárolások összesen</t>
  </si>
  <si>
    <t>F</t>
  </si>
  <si>
    <t>ESZKÖZÖK ÖSSZESEN</t>
  </si>
  <si>
    <t>FORRÁSOK</t>
  </si>
  <si>
    <t>Nemzeti vagyon induláskori értéke</t>
  </si>
  <si>
    <t>G/I.</t>
  </si>
  <si>
    <t>Nemzeti vagyon változásai</t>
  </si>
  <si>
    <t>G/II.</t>
  </si>
  <si>
    <t>Egyéb eszközök induláskori értéke és változásai</t>
  </si>
  <si>
    <t>G/III.</t>
  </si>
  <si>
    <t>Felhalmozott eredmény</t>
  </si>
  <si>
    <t>G/IV.</t>
  </si>
  <si>
    <t>Eszközök értékhelyesbítésének forrása</t>
  </si>
  <si>
    <t>G/V.</t>
  </si>
  <si>
    <t>Mérleg szerinti eredmény</t>
  </si>
  <si>
    <t>G/VI.</t>
  </si>
  <si>
    <t>Saját tőke összesen</t>
  </si>
  <si>
    <t>G</t>
  </si>
  <si>
    <t>Saját Tőke összesen</t>
  </si>
  <si>
    <t>Költségvetési évben esedékes kötelezettségek</t>
  </si>
  <si>
    <t>H/I.</t>
  </si>
  <si>
    <t>Költségvetési évet követően esedékes kötelezettségek</t>
  </si>
  <si>
    <t>H/II.</t>
  </si>
  <si>
    <t>Kötelezettség jellegű sajátos elszámolások</t>
  </si>
  <si>
    <t>H/III.</t>
  </si>
  <si>
    <t>Kötelezettségek összesen</t>
  </si>
  <si>
    <t>H</t>
  </si>
  <si>
    <t>J</t>
  </si>
  <si>
    <t>Eredményszemléletű bevételek passzív időbeli elhatárilása</t>
  </si>
  <si>
    <t>Eredményszemléletű bevételek passzív időbeli elhatárolása</t>
  </si>
  <si>
    <t>Költségek, ráfordítások passzív időbeli elhatárolása</t>
  </si>
  <si>
    <t>Passzívv időbeli elhatárolások összesen</t>
  </si>
  <si>
    <t>Passzív időbeli elhatárolások összesen</t>
  </si>
  <si>
    <t>FORRÁSOK ÖSSZESEN</t>
  </si>
  <si>
    <t>BRUTTÓ</t>
  </si>
  <si>
    <t>ÉRTÉKCSÖKK</t>
  </si>
  <si>
    <t>NETTÓ</t>
  </si>
  <si>
    <t xml:space="preserve">A </t>
  </si>
  <si>
    <t>NEMZETI VAGYONBA TARTOZÓ BEFEKTETETT ESZKÖZÖK</t>
  </si>
  <si>
    <t>Immateriális javak</t>
  </si>
  <si>
    <t>Korlátozottan forgalomképes</t>
  </si>
  <si>
    <t>Üzleti vagyon</t>
  </si>
  <si>
    <t>Tárgyi eszközök</t>
  </si>
  <si>
    <t xml:space="preserve"> Forgalomképtelen</t>
  </si>
  <si>
    <t>-</t>
  </si>
  <si>
    <t>Helyi Közutak és műtárgyaik</t>
  </si>
  <si>
    <t>Terek, parkok</t>
  </si>
  <si>
    <t>Köztemetők</t>
  </si>
  <si>
    <t>Vizek és közcélú (vizi közműnek nem minősülő) vízi létesítmények</t>
  </si>
  <si>
    <t>Üzemeltetésre átadott ingatlanok és kapcsolódó vagyoni értékű jogok</t>
  </si>
  <si>
    <t xml:space="preserve"> </t>
  </si>
  <si>
    <t>vagyoni értékű jogok</t>
  </si>
  <si>
    <t xml:space="preserve">Korlátozottan forgalomképes </t>
  </si>
  <si>
    <t>Közművek (Víz, gáz, csatorna, távfűtés,világítás)</t>
  </si>
  <si>
    <t>Védett természeti területek</t>
  </si>
  <si>
    <t>Műemlék ingatlanok</t>
  </si>
  <si>
    <t>Telkek, földterületek</t>
  </si>
  <si>
    <t xml:space="preserve">Egyéb az önkormányzat által forgalomképesnek minősített ingatlanok és kapcsolódó </t>
  </si>
  <si>
    <t>A/II/2.</t>
  </si>
  <si>
    <t>Gépek, berendezések felszerelések, járművek</t>
  </si>
  <si>
    <t>Forgalomképtelen gépek, berendezések, felszerelések, járművek</t>
  </si>
  <si>
    <t>Korlátozottan forgalomképes gépek,berendezések, felszerelések, járművek</t>
  </si>
  <si>
    <t>Üzleti vagyon: gépek, berendezések, felszerelések, járművek</t>
  </si>
  <si>
    <t xml:space="preserve">Tenyészállatok </t>
  </si>
  <si>
    <t>A/II/4.</t>
  </si>
  <si>
    <t>Forgalomképtelen eszköz létesítésére irányuló beruházás, felújítás</t>
  </si>
  <si>
    <t>Korlátozottan forgalomképes eszköz létesítésére irányuló beruházás, felújítás</t>
  </si>
  <si>
    <t>A/II/5.</t>
  </si>
  <si>
    <t>Tárgyi eszközök értékhelyesbítése</t>
  </si>
  <si>
    <t xml:space="preserve">Befektetett pénzügyi eszközök </t>
  </si>
  <si>
    <t>A/III/1.</t>
  </si>
  <si>
    <t>Tartós részesedések - korlátozottan forgalomképes</t>
  </si>
  <si>
    <t>Tartós hitelviszonyt megtestesítő értékpapírok (forgalomképes)</t>
  </si>
  <si>
    <t>A/III/3.</t>
  </si>
  <si>
    <t>Befektetett pénzügyi eszközök értékhelyesbítése (forgalomképes)</t>
  </si>
  <si>
    <t>A/IV.</t>
  </si>
  <si>
    <t>Koncesszióba, vagyonkezelésbe adott eszközök</t>
  </si>
  <si>
    <t xml:space="preserve">B </t>
  </si>
  <si>
    <t>NEMZETI VAGYONBA TARTOZÓ FORGÓESZKÖZÖK</t>
  </si>
  <si>
    <t>Készletek (forgalomképes)</t>
  </si>
  <si>
    <t>PÉNZESZKÖZÖK - forgalomképes</t>
  </si>
  <si>
    <t>C/IV</t>
  </si>
  <si>
    <t>Idegen pénzszközök</t>
  </si>
  <si>
    <t>KÖVETELÉSEK - forgalomképes</t>
  </si>
  <si>
    <t>D/I</t>
  </si>
  <si>
    <t>D/II</t>
  </si>
  <si>
    <t>EGYÉB SAJÁTOS ESZKÖZOLDALI ELSZÁMOLÁSOK - forgalomképes</t>
  </si>
  <si>
    <t>F.</t>
  </si>
  <si>
    <t>AKTÍV IDŐBELI ELHATÁROLÁSOK - forgalomképes</t>
  </si>
  <si>
    <t>G.</t>
  </si>
  <si>
    <t>SAJÁT TŐKE</t>
  </si>
  <si>
    <t>H.</t>
  </si>
  <si>
    <t>KÖTELEZETTSÉGEK</t>
  </si>
  <si>
    <t>Költségvetési évben esedékes kötelezettségek - forgalomképes</t>
  </si>
  <si>
    <t>Költségvetési évet követően esedékes kötelezettségek - forgalomképes</t>
  </si>
  <si>
    <t>I.</t>
  </si>
  <si>
    <t>J.</t>
  </si>
  <si>
    <t>KINCSTÁRI SZÁMLAVEZETÉSSEL KAPCSOLATOS ELSZÁMOLÁSOK</t>
  </si>
  <si>
    <t>PASSZÍV IDŐBELI ELHATÁROLÁSOK - forgalomképes</t>
  </si>
  <si>
    <t>KÖNYVVITELI MÉRLEGEN KÍVÜLI TÉTELEK</t>
  </si>
  <si>
    <t xml:space="preserve">"0"-ra leírt, de használatban lévő eszközök állománya </t>
  </si>
  <si>
    <t>Ingatlanok és kapcsolódó vagyonértékű jogok</t>
  </si>
  <si>
    <t>Használatban lévő kisértékű  immateriális javak, tárgyi eszközök, készletek</t>
  </si>
  <si>
    <t>Kisértékű Immateriális javak</t>
  </si>
  <si>
    <t>01. számlaosztály</t>
  </si>
  <si>
    <t>04. Függő kötelezettségek</t>
  </si>
  <si>
    <t>Nyitó pénzkészlet</t>
  </si>
  <si>
    <t>Záró pénzkészlet</t>
  </si>
  <si>
    <t>kiszámlázott szolg. Áfa</t>
  </si>
  <si>
    <t>az európai uniós forrásból finanszírozott támogatással megvalósuló programok, projektek bevételei tartalék</t>
  </si>
  <si>
    <t>kapott kamatok felhalmozási célú</t>
  </si>
  <si>
    <t>Sorszám</t>
  </si>
  <si>
    <t>Ölbő</t>
  </si>
  <si>
    <t>Torony</t>
  </si>
  <si>
    <t>k3</t>
  </si>
  <si>
    <t>Támogatásértékű működési bevétel fejezeti kezelésű előirányzattól EU-s programokra és azok hazai társfinanszírozására KEOP2.3.0/2F/2008-006 PÁLY.támog. Rekultiváció</t>
  </si>
  <si>
    <t>Támogatásértékű felhalmozási bevétel fejezeti kezelésű előirányzattól EU-s programokra és azok hazai társfinanszírozására támog.keop-1.1.1/2F/09-11-212-001</t>
  </si>
  <si>
    <t>Támogatásértékű felhalmozási bevétel fejezeti kezelésű előirányzattól EU-s programokra és azok hazai társfinanszírozására KEOP2.3.0/2F/2008-006 PÁLY.támog. Rekultiváció</t>
  </si>
  <si>
    <t xml:space="preserve">2014. évi tagi tartozás </t>
  </si>
  <si>
    <t>Működési célú projekt KEOP-1.1.1/2F/09-11-2012-0001. bevétele</t>
  </si>
  <si>
    <t>Keop-2.3.0/2F/2008-0006.sz Projekt kiadásai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</si>
  <si>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</si>
  <si>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</si>
  <si>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</si>
  <si>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</si>
  <si>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</si>
  <si>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</si>
  <si>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</si>
  <si>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</si>
  <si>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</si>
  <si>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</si>
  <si>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</si>
  <si>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</si>
  <si>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</si>
  <si>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</si>
  <si>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</si>
  <si>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</si>
  <si>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</si>
  <si>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</si>
  <si>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</si>
  <si>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</si>
  <si>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</si>
  <si>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</si>
  <si>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</si>
  <si>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</si>
  <si>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</si>
  <si>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</si>
  <si>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</si>
  <si>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</si>
  <si>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</si>
  <si>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</si>
  <si>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</si>
  <si>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</si>
  <si>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</si>
  <si>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</si>
  <si>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</si>
  <si>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</si>
  <si>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</si>
  <si>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</si>
  <si>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</si>
  <si>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</si>
  <si>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</si>
  <si>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</si>
  <si>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Körmend</t>
  </si>
  <si>
    <t>Szentgotthárd</t>
  </si>
  <si>
    <t>Bük</t>
  </si>
  <si>
    <t>Répcelak</t>
  </si>
  <si>
    <t xml:space="preserve">2016. ÉVI MÓD. EI. ÖSSZESEN </t>
  </si>
  <si>
    <t>2015. évi tagi tartozás</t>
  </si>
  <si>
    <t>Pankasz</t>
  </si>
  <si>
    <t>Rábahídvég</t>
  </si>
  <si>
    <t>J/1.</t>
  </si>
  <si>
    <t>J/2.</t>
  </si>
  <si>
    <t>tulajdonosi bevételek</t>
  </si>
  <si>
    <t>Alsóújlak</t>
  </si>
  <si>
    <t>Duka</t>
  </si>
  <si>
    <t>Nyugat-dunántúli Regionális Önkormányzati Társulás</t>
  </si>
  <si>
    <t>iroda</t>
  </si>
  <si>
    <t xml:space="preserve">hulladékudvarok </t>
  </si>
  <si>
    <t>rekultivált területek</t>
  </si>
  <si>
    <t>bruttó érték</t>
  </si>
  <si>
    <t>előző év écs.</t>
  </si>
  <si>
    <t>nettó érték</t>
  </si>
  <si>
    <t>elsz.écs. Összesen</t>
  </si>
  <si>
    <t>Kisértékű vagyoni értékű jogok</t>
  </si>
  <si>
    <t>Immateriális javak összesen:</t>
  </si>
  <si>
    <t>Üzemeltetésre átadott épületek aktivált állománya</t>
  </si>
  <si>
    <t>Üzemeltetésre átadott építmények aktivált állománya</t>
  </si>
  <si>
    <t>Ingatlanok összesen:</t>
  </si>
  <si>
    <t xml:space="preserve"> üzemeltetésre átadott járművek állománya állománya</t>
  </si>
  <si>
    <t>Gépek, berendezések, felszerelések, járművek állománya összesen:</t>
  </si>
  <si>
    <t>Mindösszesen:</t>
  </si>
  <si>
    <t>Szombathely technológia</t>
  </si>
  <si>
    <t>Szigetek</t>
  </si>
  <si>
    <t>helyszínek</t>
  </si>
  <si>
    <t>előkészítő munkák</t>
  </si>
  <si>
    <t>beruházási érték összesen:</t>
  </si>
  <si>
    <t>beruházási érték Ft-ban 
 (nettó Ft)</t>
  </si>
  <si>
    <t>1/a</t>
  </si>
  <si>
    <t xml:space="preserve">Forgatási célú belföldi értékpapírok vásárlása </t>
  </si>
  <si>
    <t>beruházások KEOP-1.1.1/2F/09611-2012-001 nem elszámolható kiadásai</t>
  </si>
  <si>
    <t>beruházások iroda működéséhez</t>
  </si>
  <si>
    <t>Pénzeszközök betétként való elhelyezése</t>
  </si>
  <si>
    <t xml:space="preserve"> ei.</t>
  </si>
  <si>
    <t>Egyéb működési célú kiadások (tartalék)</t>
  </si>
  <si>
    <t>a szabad pénzeszközök betétként való  visszavonása,</t>
  </si>
  <si>
    <t xml:space="preserve">NYUGAT-DUNÁNTÚLI REGIONÁLIS HULLADÉKGAZDÁLKODÁSI ÖNKORMÁNYZATI </t>
  </si>
  <si>
    <t>KEOP2.3.0/2F-2008-0006. rekultivácós pályázat</t>
  </si>
  <si>
    <t>2009. évi tagi tartozás</t>
  </si>
  <si>
    <t>2010. évi tagi tartozás</t>
  </si>
  <si>
    <t>2011. évi tagi tartozás</t>
  </si>
  <si>
    <t>2014.évi tagi tartozás</t>
  </si>
  <si>
    <t>2015. évi tagi  tartozás</t>
  </si>
  <si>
    <t>beruházások  iroda működéséhez</t>
  </si>
  <si>
    <t>Működési célú projekt KEOP-1.1.1/2F/09-11-2012-0001. kapcsolatos feladatok ellátása nem elszámolható (hulladékudvarok)</t>
  </si>
  <si>
    <t>kötelezettséggel terhelt</t>
  </si>
  <si>
    <t>beruházások (iroda működéséhez)</t>
  </si>
  <si>
    <t>Tulajdonosi bevétek</t>
  </si>
  <si>
    <t>lekötött bankbetét megszüntetése</t>
  </si>
  <si>
    <t>12.</t>
  </si>
  <si>
    <t>21.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</si>
  <si>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</si>
  <si>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</si>
  <si>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</si>
  <si>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</si>
  <si>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</si>
  <si>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</si>
  <si>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</si>
  <si>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</si>
  <si>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</si>
  <si>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</si>
  <si>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</si>
  <si>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</si>
  <si>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</si>
  <si>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</si>
  <si>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</si>
  <si>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</si>
  <si>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</si>
  <si>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</si>
  <si>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</si>
  <si>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</si>
  <si>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</si>
  <si>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</si>
  <si>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</si>
  <si>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pénzeszközök betétként való elhelyezése</t>
  </si>
  <si>
    <t xml:space="preserve">Egyéb a társulás által forgalomképtelennek minősített ingatlanok és kapcsolódó </t>
  </si>
  <si>
    <t>A társulás felügyelete alá tartozó költségvetési szervek ingatlanai</t>
  </si>
  <si>
    <t>Értékpapírok (kincstárjegy)</t>
  </si>
  <si>
    <t>J/3.</t>
  </si>
  <si>
    <t>Halasztott eredményszemléletű bevételek</t>
  </si>
  <si>
    <t>Forgatási célú értékpapírok beváltása(finanszírozási c. bev.)</t>
  </si>
  <si>
    <t>2016. évi tagi tartozás</t>
  </si>
  <si>
    <t>2017. évi tagi tartozás</t>
  </si>
  <si>
    <t>2018. évi tagi tartozás</t>
  </si>
  <si>
    <t>Harasztifalu</t>
  </si>
  <si>
    <t>Kisrákos</t>
  </si>
  <si>
    <t>Rum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</si>
  <si>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</si>
  <si>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</si>
  <si>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</si>
  <si>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</si>
  <si>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</si>
  <si>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</si>
  <si>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</si>
  <si>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</si>
  <si>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</si>
  <si>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</si>
  <si>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</si>
  <si>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</si>
  <si>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</si>
  <si>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</si>
  <si>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</si>
  <si>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</si>
  <si>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</si>
  <si>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</si>
  <si>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</si>
  <si>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</si>
  <si>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</si>
  <si>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</si>
  <si>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</si>
  <si>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</si>
  <si>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</si>
  <si>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</si>
  <si>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</si>
  <si>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</si>
  <si>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</si>
  <si>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</si>
  <si>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</si>
  <si>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</si>
  <si>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</si>
  <si>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</si>
  <si>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</si>
  <si>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</si>
  <si>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</si>
  <si>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</si>
  <si>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</si>
  <si>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</si>
  <si>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</si>
  <si>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</si>
  <si>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</si>
  <si>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</si>
  <si>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Társulás működtetésével kapcsolatos kiadások előirányzata</t>
  </si>
  <si>
    <t>Társulás működtetésével kapcsolatos kiadások teljesítése</t>
  </si>
  <si>
    <t>hulladékudvarok működésével kapcsolatos kiadások előirányzata</t>
  </si>
  <si>
    <t>rekultivált területek működtetésével kapcsolatos kiadások előirányzata</t>
  </si>
  <si>
    <t>előirányzat összesen</t>
  </si>
  <si>
    <t>összesen teljesítés</t>
  </si>
  <si>
    <t>Törvény szerinti illetmények, munkabérek (K1101)</t>
  </si>
  <si>
    <t>Béren kívüli juttatások (K1107)</t>
  </si>
  <si>
    <t>Közlekedési költségtérítés (K1109)</t>
  </si>
  <si>
    <t>Foglalkoztatottak személyi juttatásai  (K11)</t>
  </si>
  <si>
    <t>Munkavégzésre irányuló egyéb jogviszonyban nem saját foglalkoztatottnak fizetett juttatások (K122)</t>
  </si>
  <si>
    <t>Egyéb külső személyi juttatások (K123)</t>
  </si>
  <si>
    <t>Külső személyi juttatások  (K12)</t>
  </si>
  <si>
    <t>Személyi juttatások  (K1)</t>
  </si>
  <si>
    <t>Munkaadókat terhelő járulékok és szociális hozzájárulási adó  (K2)</t>
  </si>
  <si>
    <t>Üzemeltetési anyagok beszerzése (K312)</t>
  </si>
  <si>
    <t>Készletbeszerzés  (K31)</t>
  </si>
  <si>
    <t>Informatikai szolgáltatások igénybevétele (K321)</t>
  </si>
  <si>
    <t>Egyéb kommunikációs szolgáltatások (K322)</t>
  </si>
  <si>
    <t>Kommunikációs szolgáltatások  (K32)</t>
  </si>
  <si>
    <t>Vásárolt élelmezés (K332)</t>
  </si>
  <si>
    <t>Bérleti és lízing díjak  (K333)</t>
  </si>
  <si>
    <t>Karbantartási, kisjavítási szolgáltatások (K334)</t>
  </si>
  <si>
    <t>Szakmai tevékenységet segítő szolgáltatások  (K336)</t>
  </si>
  <si>
    <t>Egyéb szolgáltatások  (K337)</t>
  </si>
  <si>
    <t>Szolgáltatási kiadások  (K33)</t>
  </si>
  <si>
    <t>Kiküldetések kiadásai (K341)</t>
  </si>
  <si>
    <t>Reklám- és propagandakiadások (K342)</t>
  </si>
  <si>
    <t>Kiküldetések, reklám- és propagandakiadások  (K34)</t>
  </si>
  <si>
    <t>Fizetendő Áfa</t>
  </si>
  <si>
    <t>Működési célú előzetesen felszámított általános forgalmi adó (K351)</t>
  </si>
  <si>
    <t>Egyéb pénzügyi műveletek kiadásai  (K354)</t>
  </si>
  <si>
    <t>Egyéb dologi kiadások (K355)</t>
  </si>
  <si>
    <t>Dologi kiadások  (K3)</t>
  </si>
  <si>
    <t>Beruházási célú előzetesen felszámított általános forgalmi adó (K67)</t>
  </si>
  <si>
    <t>Beruházások  (K6)</t>
  </si>
  <si>
    <t>Kiadások összesen:</t>
  </si>
  <si>
    <t>Pénzeszközök lekötött bankbetétként elhelyezése (K916)</t>
  </si>
  <si>
    <t>Forgatási célú belföldi értékpapírok vásárlása (&gt;=08+09) (K9121)</t>
  </si>
  <si>
    <t>Költségvetési kiadások (finanszírozási kiadásokkal)</t>
  </si>
  <si>
    <t xml:space="preserve">előző év elsz. Écs. </t>
  </si>
  <si>
    <t>Tartós részesedések vállalkozásban</t>
  </si>
  <si>
    <t>1-es számlaosztály mindösszesen:</t>
  </si>
  <si>
    <t xml:space="preserve"> FT</t>
  </si>
  <si>
    <t>Kivitelező</t>
  </si>
  <si>
    <t>Sajtoskál</t>
  </si>
  <si>
    <t xml:space="preserve"> BAZALTECH MÉRNÖKI SZOLGÁLTATÓ KFT.       </t>
  </si>
  <si>
    <t xml:space="preserve"> FERTŐDI ÉPÍTŐ ÉS SZOLGÁLTATÓ ZRT.        </t>
  </si>
  <si>
    <t xml:space="preserve"> WEST HUNGÁRIA BAU KFT.                   </t>
  </si>
  <si>
    <t xml:space="preserve"> MENTO KÖRNYEZETKULTÚRA KFT               </t>
  </si>
  <si>
    <t xml:space="preserve"> GEO-ÉP MÉLYÉPÍTŐ KFT.                    </t>
  </si>
  <si>
    <t>megvalósítás értéke</t>
  </si>
  <si>
    <t>előkészítés értéke</t>
  </si>
  <si>
    <t>Beruházás értéke</t>
  </si>
  <si>
    <t>Forgatási célú értékpapírok beváltása (finanszírozási célú bevétel)</t>
  </si>
  <si>
    <t>Működési célú projekt KEOP-1.1.1/2F/09-11-2012-0001 fenntartási célú kiadása (hulladékudvar)</t>
  </si>
  <si>
    <t>Hulladékudvar bérleti díj miatti fizetendő ÁFA</t>
  </si>
  <si>
    <t>keop-2.3.0/2F/2008-0006sz. Projekt kiadásaiKEOP-2.3.0/2F-2008  A települési szilárdhulladék-lerakókat érintő térségi szintű rekultivációs programok elvégzése fennartási kiadásai</t>
  </si>
  <si>
    <t>2019. évi tagi tartozás</t>
  </si>
  <si>
    <t>2009.évi tagi tartozás</t>
  </si>
  <si>
    <t xml:space="preserve">működési célú ÁFA visszatérülés KEOP 7.1.1.1 / 09-11-2012-0001 pályázat </t>
  </si>
  <si>
    <r>
      <t>intézményi működési bevételek</t>
    </r>
    <r>
      <rPr>
        <i/>
        <sz val="10"/>
        <rFont val="Arial"/>
        <family val="2"/>
        <charset val="238"/>
      </rPr>
      <t>, kiszámlázott termékek áf</t>
    </r>
    <r>
      <rPr>
        <sz val="10"/>
        <rFont val="Arial"/>
        <family val="2"/>
        <charset val="238"/>
      </rPr>
      <t>a</t>
    </r>
  </si>
  <si>
    <t xml:space="preserve">keop-2.3.0/2F/2008-0006sz. Projekt kiadásaiKEOP-2.3.0/2F-2008  A települési szilárdhulladék-lerakókat érintő térségi szintű rekultivációs programok elvégzése </t>
  </si>
  <si>
    <t>Irányító szerv alá tartozó költsévetési szervnek folyósított felhalmozási támogatás</t>
  </si>
  <si>
    <t>·        - a működési célú átadott pénzeszköz</t>
  </si>
  <si>
    <t>·        - támogatásértékű működési kiadások (ÁHT-n belüli pénzeszköz átadások)</t>
  </si>
  <si>
    <t>·        - előző évi működési célú előirányzat-maradvány, pénzmaradvány átadás összesen</t>
  </si>
  <si>
    <t>·        - a felhalmozási célú átadott pénzeszköz</t>
  </si>
  <si>
    <t>·        - támogatásértékű felhalmozási kiadások (ÁHT-n belüli pénzeszköz átadások)</t>
  </si>
  <si>
    <t>·        - előző évi felhalmozási célú előirányzat-maradvány, pénzmaradvány átadás</t>
  </si>
  <si>
    <t>Pénzeszközök változásának bemutatása</t>
  </si>
  <si>
    <t>forintban</t>
  </si>
  <si>
    <t xml:space="preserve">+ Bevételek </t>
  </si>
  <si>
    <t>+ - Sajátos elszámolások</t>
  </si>
  <si>
    <t xml:space="preserve">- Kiadások </t>
  </si>
  <si>
    <t>Munkaadókat terhelő járulékok</t>
  </si>
  <si>
    <t>Dologi kiadásokok</t>
  </si>
  <si>
    <t>Egyéb működési célú kiadások</t>
  </si>
  <si>
    <t>Felhalmozási kiadások ( Beruházások , Felújítások,Egyéb felhalmozási kiadások)</t>
  </si>
  <si>
    <t>ezer Ft</t>
  </si>
  <si>
    <t xml:space="preserve">megnevezés </t>
  </si>
  <si>
    <t>sorokon maradt nem lekötött maradvány</t>
  </si>
  <si>
    <t>FT</t>
  </si>
  <si>
    <t>·        - az európai uniós forrásból finanszírozott támogatással megvalósuló programok, projektek kiadásai, valamint a helyi önkormányzat ilyen projektekhez történő hozzájárulásai</t>
  </si>
  <si>
    <t>ei.</t>
  </si>
  <si>
    <t xml:space="preserve">Társulás  </t>
  </si>
  <si>
    <t>Önkormányzat neve</t>
  </si>
  <si>
    <t>Lakosság száma</t>
  </si>
  <si>
    <t xml:space="preserve">be nem fizetett összeg </t>
  </si>
  <si>
    <t>be nem fizetett összeg</t>
  </si>
  <si>
    <t>2009. év</t>
  </si>
  <si>
    <t>2010. év</t>
  </si>
  <si>
    <t>2011. év</t>
  </si>
  <si>
    <t>2012. év</t>
  </si>
  <si>
    <t>2013. év</t>
  </si>
  <si>
    <t>2014. év</t>
  </si>
  <si>
    <t>2015. év</t>
  </si>
  <si>
    <t>2016. év</t>
  </si>
  <si>
    <t>2017. év</t>
  </si>
  <si>
    <t>2018. év</t>
  </si>
  <si>
    <t>2019. év</t>
  </si>
  <si>
    <t xml:space="preserve">beruházási </t>
  </si>
  <si>
    <t>beruházási</t>
  </si>
  <si>
    <t>Nagygeresd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</si>
  <si>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</si>
  <si>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</si>
  <si>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</si>
  <si>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</si>
  <si>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</si>
  <si>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</si>
  <si>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</si>
  <si>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</si>
  <si>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</si>
  <si>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</si>
  <si>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</si>
  <si>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</si>
  <si>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</si>
  <si>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</si>
  <si>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</si>
  <si>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</si>
  <si>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</si>
  <si>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</si>
  <si>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</si>
  <si>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Tatalékok (K513)</t>
  </si>
  <si>
    <t>Beruházások   összesen (K6)</t>
  </si>
  <si>
    <t>Közvetített szolgáltatások (K335)</t>
  </si>
  <si>
    <t>Eszközök összesen</t>
  </si>
  <si>
    <t xml:space="preserve">              Források összesen</t>
  </si>
  <si>
    <t>Forgatási célú belföldi értékpapírok vásárlása</t>
  </si>
  <si>
    <t>intézményi működési bevételek, kamatbevételek,</t>
  </si>
  <si>
    <t>kiszámlázott szolg.Áfa</t>
  </si>
  <si>
    <t>Forgatási célú értékpapír beváltása (finanaszírozási c.bev.)</t>
  </si>
  <si>
    <t>informatikai eszközök állománya</t>
  </si>
  <si>
    <t xml:space="preserve"> 0-ra leírt üzemeltetésre átadott informatikai eszközök állománya</t>
  </si>
  <si>
    <t xml:space="preserve"> üzemeltetésre átadott kisértékű informatikai eszközök állománya</t>
  </si>
  <si>
    <t xml:space="preserve">kisértékű egyéb gép, berend. állománya </t>
  </si>
  <si>
    <t xml:space="preserve"> üzemeltetésre átadott  kisértékű egyéb gép,ber. állománya</t>
  </si>
  <si>
    <t>2020. évi tagi tartozás</t>
  </si>
  <si>
    <t>2020. év</t>
  </si>
  <si>
    <t>2009-2020</t>
  </si>
  <si>
    <t>2020. december 31.-i állapot</t>
  </si>
  <si>
    <t>A/I/1</t>
  </si>
  <si>
    <t>Általános forgalmi adó visszatérítése</t>
  </si>
  <si>
    <t>Működési célú támogatásértékű bevételek</t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</si>
  <si>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a helyi önkormányzatok és költségvetési szerveik</t>
    </r>
  </si>
  <si>
    <t xml:space="preserve">     - a helyi önkormányzatok és költségvetési szerveik</t>
  </si>
  <si>
    <t>·        - a helyi önkormányzatok és költségvetési szervei</t>
  </si>
  <si>
    <t>beruházások KEOP-1.1.1/2F/09611-212-001nem elszámolható kiadásai</t>
  </si>
  <si>
    <t xml:space="preserve">         -a helyi önkormányzatok és költségvetési szervei</t>
  </si>
  <si>
    <t>·        - a helyi önkormányzatok  és költségvetési szervei</t>
  </si>
  <si>
    <t>hulladékudvarok működésével kapcsolatos kiadások teljesítése</t>
  </si>
  <si>
    <t>rekultivált területek működtetésével kapcsolatos kiadások teljesítése</t>
  </si>
  <si>
    <t>Egyéb működési célú támogatások államháztartáson belülre (K506)</t>
  </si>
  <si>
    <t>Egyéb felhalmozási célú támogatások államháztartáson belülre</t>
  </si>
  <si>
    <t>Részletfizetés módja</t>
  </si>
  <si>
    <t>2021. év</t>
  </si>
  <si>
    <t>12 havi egyenlő részlet 2021. december 31-ig</t>
  </si>
  <si>
    <t>JELMAGYARÁZAT:</t>
  </si>
  <si>
    <t>KILÉPETT TELEPÜLÉS</t>
  </si>
  <si>
    <t>Rendezett helyzet 2020.12.31.-ig</t>
  </si>
  <si>
    <t>piros betű</t>
  </si>
  <si>
    <t>részletfizetés kérése</t>
  </si>
  <si>
    <t>lila betű</t>
  </si>
  <si>
    <t>131191     131911</t>
  </si>
  <si>
    <t xml:space="preserve">informatikai eszközök állománya 0-ra íródott                        és kisésrtékú informatikai eszköz </t>
  </si>
  <si>
    <t>gépek, berendezések, felszerelések állománya  0-ra iródott(MEGSZŰNT!!!)</t>
  </si>
  <si>
    <t>2021.évi tagi tartozás</t>
  </si>
  <si>
    <t>beruházások KEIP-1.1.1/2f/09611-2012-001 nem elszámolható kiadásai</t>
  </si>
  <si>
    <t>Általásno forgalmi adó visszatérítése</t>
  </si>
  <si>
    <t>Gépek,berendezések,felszerelések,Informatikai eszközök, járművek</t>
  </si>
  <si>
    <t>Kisértékű Gépek, berendezések, felszerelések,Informatikai eszközök, járművek</t>
  </si>
  <si>
    <t>Egyéb működési bevételek</t>
  </si>
  <si>
    <t>Kapott kamatok működési célú</t>
  </si>
  <si>
    <t>Elengedhető beruházási önrész 2017-2018-2019</t>
  </si>
  <si>
    <t>2022. év</t>
  </si>
  <si>
    <t xml:space="preserve">2023.12.31-ig havonta </t>
  </si>
  <si>
    <t>13112  131821</t>
  </si>
  <si>
    <t>egyéb gép,ber  és        üzemeltetésre átadott egyéb gép,ber. állománya</t>
  </si>
  <si>
    <t>2023-ban kötött megállapodást</t>
  </si>
  <si>
    <t>TT képviselője</t>
  </si>
  <si>
    <t>2023. év</t>
  </si>
  <si>
    <t>Dr Horváth Attila</t>
  </si>
  <si>
    <t>Fukszberger Imre</t>
  </si>
  <si>
    <t>Kapornaky Sándor</t>
  </si>
  <si>
    <t>x</t>
  </si>
  <si>
    <t>Szabó József</t>
  </si>
  <si>
    <t>Básty Béla</t>
  </si>
  <si>
    <t>Dr Németh Sándor</t>
  </si>
  <si>
    <t>Bebes István</t>
  </si>
  <si>
    <t>Labritz Béla</t>
  </si>
  <si>
    <t>Zsolnai Zoltán</t>
  </si>
  <si>
    <t>Zsolnai zoltán</t>
  </si>
  <si>
    <t xml:space="preserve">rendezte a tartozását 2023-ban </t>
  </si>
  <si>
    <t>2023.évi teljesítés</t>
  </si>
  <si>
    <t>Egyéb kapott kamatok</t>
  </si>
  <si>
    <t>működési célú( STKH és MOHU MOL bérleti díjból gördülő beruházás alapján megbontandó)</t>
  </si>
  <si>
    <t>STKH.és MOHU MOL BÉRLETI DÍJ</t>
  </si>
  <si>
    <t xml:space="preserve">2023. </t>
  </si>
  <si>
    <t>2023.</t>
  </si>
  <si>
    <t>2023. évi ei.</t>
  </si>
  <si>
    <t>2022. évi mód. ei.</t>
  </si>
  <si>
    <t>2024. ÉVI  BEVÉTELEI (E Ft)</t>
  </si>
  <si>
    <t>2024. évi eredeti ei.</t>
  </si>
  <si>
    <t>2024. évi I. módosított ei.</t>
  </si>
  <si>
    <t>2024.évi ei. összesen</t>
  </si>
  <si>
    <t xml:space="preserve">Fizetendő összeg, amenniyben 2024-ban részletfizetési megállapodást köt </t>
  </si>
  <si>
    <t>2024. év</t>
  </si>
  <si>
    <t>2009-2024</t>
  </si>
  <si>
    <t>2024. ÉVI KIADÁSAI (E Ft)</t>
  </si>
  <si>
    <t>2023. évi módosított ei.</t>
  </si>
  <si>
    <t xml:space="preserve">2024. évi eredeti. ei. </t>
  </si>
  <si>
    <t xml:space="preserve">2024. évi I. módosított ei </t>
  </si>
  <si>
    <t xml:space="preserve">2024. évi módosított ei. </t>
  </si>
  <si>
    <t xml:space="preserve">2024. évi teljesítés </t>
  </si>
  <si>
    <t>2024. ÉVI FINANSZÍROZÁSI BEVÉTELEI ÉS KIADÁSAI (E Ft)</t>
  </si>
  <si>
    <t>2024. évi  ei.</t>
  </si>
  <si>
    <t>2024. évi  I.mód.</t>
  </si>
  <si>
    <t xml:space="preserve">2024. évi  teljesítés </t>
  </si>
  <si>
    <t>2024. évi ei. összesen</t>
  </si>
  <si>
    <t>lekötött bankbetétek megszűntetése (finnanszírozási célú bevétel)</t>
  </si>
  <si>
    <t>2023. évi  mód. ei.</t>
  </si>
  <si>
    <t>2024. évi ei.</t>
  </si>
  <si>
    <t>A fenti előirányzatokból 2024 Költségvetési év azon fejlesztési céljai, amelyek megvalósításához a Stabilitási tv. 3. § (1) bekezdése szerinti adósságot keletkeztető ügylet megkötése válik vagy válhat szükségessé (forrás feltüntetése ezer forintban)</t>
  </si>
  <si>
    <t>TÁRSULÁS PÁLYÁZATBÓL MEGVALÓSULT  2024. ÉVI BERUHÁZÁSAI ÉS FELÚJÍTÁSAI (E Ft)</t>
  </si>
  <si>
    <t>hitel, kölcsön felvétele, átvállalása 2024. ÉV</t>
  </si>
  <si>
    <t>Állományi számlák adatai 2024 december 31</t>
  </si>
  <si>
    <t>2024.év elsz.écs.</t>
  </si>
  <si>
    <t>2024.évi elszámolt écs.</t>
  </si>
  <si>
    <t xml:space="preserve">2024.elsz. Écs. </t>
  </si>
  <si>
    <t>2024.évi écs.</t>
  </si>
  <si>
    <t>TÁRSULÁS 2024. ÉVI TARTALÉK ELŐIRÁNYZATAI (E Ft)</t>
  </si>
  <si>
    <t>2023.évi mód.  ei.</t>
  </si>
  <si>
    <t>2024. eredeti ei.</t>
  </si>
  <si>
    <t>2024.évi  I.mód.  ei.</t>
  </si>
  <si>
    <t>2024.évi mód.ei.össz.</t>
  </si>
  <si>
    <t>2024. évi telj.</t>
  </si>
  <si>
    <t>2024.évi I. mód.  ei.</t>
  </si>
  <si>
    <t>2024.évi telj.</t>
  </si>
  <si>
    <t>2024. ÉVI TÁMOGATÁSÉRTÉKŰ BEVÉTELEI  Ft)</t>
  </si>
  <si>
    <t xml:space="preserve">2023 évi  mód.Ei. </t>
  </si>
  <si>
    <t>2024.évi ered. Ei.</t>
  </si>
  <si>
    <t>2024.évi I.MÓD. Ei.</t>
  </si>
  <si>
    <t>2024.évi Ei.ÖSSZESEN</t>
  </si>
  <si>
    <t>2024.évi . Teljesítés</t>
  </si>
  <si>
    <t xml:space="preserve">2023 mód.  EI.  </t>
  </si>
  <si>
    <t>2024.évi I.MÓD Ei.</t>
  </si>
  <si>
    <t>2024.évi  Ei.     ÖSSZESEN</t>
  </si>
  <si>
    <t>2024.évi Teljesítés</t>
  </si>
  <si>
    <t>2022.évi tagi tartozás</t>
  </si>
  <si>
    <t>2023.évi tagi tartozás</t>
  </si>
  <si>
    <t>2024.évi tagi hozzájárulás</t>
  </si>
  <si>
    <t>2024. ÉVI EGYÉB MŰKÖDÉSI ÉS   FELHALMOZÁSI CÉLÚ BEVÉTELEI (E Ft)</t>
  </si>
  <si>
    <t>2023.évi mód. ei.</t>
  </si>
  <si>
    <t>2024.évi eredeti ei.</t>
  </si>
  <si>
    <t>2024.évi I.mód.ei.</t>
  </si>
  <si>
    <t>2024.évi  ei. összesen</t>
  </si>
  <si>
    <t>2024.évi  teljesítés összesen</t>
  </si>
  <si>
    <t xml:space="preserve">2023. évi mód. ei. </t>
  </si>
  <si>
    <t xml:space="preserve">2024. évi eredeti ei. </t>
  </si>
  <si>
    <t>2024. ÉVI BEVÉTELI MÉRLEGE (E Ft)</t>
  </si>
  <si>
    <t>2023. évi  mód.ei.</t>
  </si>
  <si>
    <t>2024. évi I.mód. ei.</t>
  </si>
  <si>
    <t>2024. évi  ei. összesen</t>
  </si>
  <si>
    <t>2024. évi  teljesítés</t>
  </si>
  <si>
    <t>2024. ÉVI KIADÁSI MÉRLEGE (E Ft)</t>
  </si>
  <si>
    <t xml:space="preserve">2023. évi mód.ei. </t>
  </si>
  <si>
    <t>Pénzeszközök változásának bemutatása Nyugat-dunántúli Regionális Hulladékgazdálkodási Társulás 2024.év</t>
  </si>
  <si>
    <t>-2023.évi maradvány (pénzforgalom nélküli bevétel)</t>
  </si>
  <si>
    <t xml:space="preserve">2024. évi "SZABAD MARADVÁNY" </t>
  </si>
  <si>
    <t xml:space="preserve">2024. évi maradvány összege </t>
  </si>
  <si>
    <t>2024. év szabad maradvány</t>
  </si>
  <si>
    <t>2024. ÉVI BEVÉTELI ÉS KIADÁSI ELŐIRÁNYZATAI FELADATOK SZERINT (E Ft)</t>
  </si>
  <si>
    <t>2023. évi mód. ei. összesen</t>
  </si>
  <si>
    <t>2024. évi  I.mód. ei.</t>
  </si>
  <si>
    <t>2024 évi  teljesítés</t>
  </si>
  <si>
    <t>2023.évi mód. ei. összesen</t>
  </si>
  <si>
    <t>2024. évi  I. ei. mód.</t>
  </si>
  <si>
    <t>2024 évi  ei. összesen</t>
  </si>
  <si>
    <t>lekötött bankbetétek megszüntetése (HALMOZOTT ADAT)</t>
  </si>
  <si>
    <t>lekötött banbetétek megszüntetése (HALMOZOTT ADAT)</t>
  </si>
  <si>
    <t xml:space="preserve">2024. évi bevételei  kiemelt előirányzatonként </t>
  </si>
  <si>
    <t xml:space="preserve">2024. évi  kiadásai kiemelt előirányzatonként </t>
  </si>
  <si>
    <t>2024.évi teljesítés</t>
  </si>
  <si>
    <t>2024. évi teljesítés</t>
  </si>
  <si>
    <t>tulajdonosi bevételek (STKH ÉS  MOHU MOL bérleti díj)</t>
  </si>
  <si>
    <t>Pénzeszközök betétként való elhelyezése (HALMOZOTT ADAT)</t>
  </si>
  <si>
    <t>ezer</t>
  </si>
  <si>
    <t>2024.</t>
  </si>
  <si>
    <t xml:space="preserve">2024. </t>
  </si>
  <si>
    <t>2023.12.31</t>
  </si>
  <si>
    <t>2024.12.31</t>
  </si>
  <si>
    <t>Nyugat-dunántúli Hulladékgazdálkodási Társulás vagyonkimutatása 2024.év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</si>
</sst>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_F_t_-;\-* #,##0\ _F_t_-;_-* &quot;-&quot;\ _F_t_-;_-@_-"/>
    <numFmt numFmtId="165" formatCode="_-* #,##0.00\ _F_t_-;\-* #,##0.00\ _F_t_-;_-* &quot;-&quot;??\ _F_t_-;_-@_-"/>
    <numFmt numFmtId="166" formatCode="0__"/>
    <numFmt numFmtId="167" formatCode="#,##0\ &quot;Ft&quot;"/>
    <numFmt numFmtId="168" formatCode="0.0000"/>
    <numFmt numFmtId="169" formatCode="_-* #,##0\ _F_t_-;\-* #,##0\ _F_t_-;_-* &quot;-&quot;??\ _F_t_-;_-@_-"/>
  </numFmts>
  <fonts count="1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name val="Bookman Old Style"/>
      <family val="1"/>
      <charset val="238"/>
    </font>
    <font>
      <sz val="10"/>
      <name val="Bookman Old Style"/>
      <family val="1"/>
      <charset val="238"/>
    </font>
    <font>
      <sz val="7"/>
      <name val="Bookman Old Style"/>
      <family val="1"/>
      <charset val="238"/>
    </font>
    <font>
      <b/>
      <sz val="12"/>
      <name val="Bookman Old Style"/>
      <family val="1"/>
      <charset val="238"/>
    </font>
    <font>
      <sz val="10"/>
      <name val="Times New Roman CE"/>
      <charset val="238"/>
    </font>
    <font>
      <sz val="8"/>
      <name val="Arial"/>
      <family val="2"/>
      <charset val="238"/>
    </font>
    <font>
      <sz val="10"/>
      <name val="Georgia"/>
      <family val="1"/>
      <charset val="238"/>
    </font>
    <font>
      <sz val="12"/>
      <name val="Georgia"/>
      <family val="1"/>
      <charset val="238"/>
    </font>
    <font>
      <sz val="11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2"/>
      <name val="Bookman Old Style"/>
      <family val="1"/>
      <charset val="238"/>
    </font>
    <font>
      <b/>
      <i/>
      <sz val="14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sz val="9"/>
      <name val="Bookman Old Style"/>
      <family val="1"/>
      <charset val="238"/>
    </font>
    <font>
      <b/>
      <i/>
      <sz val="11"/>
      <name val="Bookman Old Style"/>
      <family val="1"/>
      <charset val="238"/>
    </font>
    <font>
      <b/>
      <i/>
      <u/>
      <sz val="14"/>
      <name val="Bookman Old Style"/>
      <family val="1"/>
      <charset val="238"/>
    </font>
    <font>
      <b/>
      <i/>
      <sz val="10"/>
      <name val="Bookman Old Style"/>
      <family val="1"/>
      <charset val="238"/>
    </font>
    <font>
      <i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0"/>
      <name val="MS Sans Serif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Georgia"/>
      <family val="1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8"/>
      <name val="Times New Roman CE"/>
      <charset val="238"/>
    </font>
    <font>
      <b/>
      <sz val="14"/>
      <name val="Arial"/>
      <family val="2"/>
      <charset val="238"/>
    </font>
    <font>
      <sz val="12"/>
      <color indexed="1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u/>
      <sz val="12"/>
      <name val="Arial CE"/>
      <family val="2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name val="Times New Roman CE"/>
      <charset val="238"/>
    </font>
    <font>
      <b/>
      <i/>
      <sz val="10"/>
      <name val="Arial"/>
      <family val="2"/>
    </font>
    <font>
      <b/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8"/>
      <name val="Calibri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i/>
      <sz val="12"/>
      <name val="Arial"/>
      <family val="2"/>
    </font>
    <font>
      <sz val="12"/>
      <name val="Times New Roman CE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4"/>
      <name val="Bookman Old Style"/>
      <family val="1"/>
      <charset val="238"/>
    </font>
    <font>
      <sz val="14"/>
      <color indexed="8"/>
      <name val="Bookman Old Style"/>
      <family val="1"/>
      <charset val="238"/>
    </font>
    <font>
      <b/>
      <sz val="12"/>
      <name val="Georg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Bookman Old Style"/>
      <family val="1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b/>
      <sz val="9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10"/>
      <color indexed="10"/>
      <name val="Arial CE"/>
      <charset val="238"/>
    </font>
    <font>
      <b/>
      <i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b/>
      <sz val="12"/>
      <color rgb="FFC00000"/>
      <name val="Arial"/>
      <family val="2"/>
    </font>
    <font>
      <sz val="11"/>
      <color rgb="FF00B050"/>
      <name val="Calibri"/>
      <family val="2"/>
      <charset val="238"/>
      <scheme val="minor"/>
    </font>
    <font>
      <sz val="11"/>
      <color theme="7" tint="-0.49998474074526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64">
    <xf numFmtId="0" fontId="0" fillId="0" borderId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6" borderId="0" applyNumberFormat="0" applyBorder="0" applyAlignment="0" applyProtection="0"/>
    <xf numFmtId="0" fontId="53" fillId="3" borderId="0" applyNumberFormat="0" applyBorder="0" applyAlignment="0" applyProtection="0"/>
    <xf numFmtId="0" fontId="53" fillId="11" borderId="0" applyNumberFormat="0" applyBorder="0" applyAlignment="0" applyProtection="0"/>
    <xf numFmtId="0" fontId="53" fillId="4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46" fillId="5" borderId="0" applyNumberFormat="0" applyBorder="0" applyAlignment="0" applyProtection="0"/>
    <xf numFmtId="0" fontId="61" fillId="16" borderId="1" applyNumberFormat="0" applyAlignment="0" applyProtection="0"/>
    <xf numFmtId="0" fontId="49" fillId="17" borderId="2" applyNumberFormat="0" applyAlignment="0" applyProtection="0"/>
    <xf numFmtId="0" fontId="51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63" fillId="0" borderId="3" applyNumberFormat="0" applyFill="0" applyAlignment="0" applyProtection="0"/>
    <xf numFmtId="0" fontId="64" fillId="0" borderId="4" applyNumberFormat="0" applyFill="0" applyAlignment="0" applyProtection="0"/>
    <xf numFmtId="0" fontId="65" fillId="0" borderId="5" applyNumberFormat="0" applyFill="0" applyAlignment="0" applyProtection="0"/>
    <xf numFmtId="0" fontId="65" fillId="0" borderId="0" applyNumberFormat="0" applyFill="0" applyBorder="0" applyAlignment="0" applyProtection="0"/>
    <xf numFmtId="0" fontId="47" fillId="13" borderId="1" applyNumberFormat="0" applyAlignment="0" applyProtection="0"/>
    <xf numFmtId="0" fontId="50" fillId="0" borderId="8" applyNumberFormat="0" applyFill="0" applyAlignment="0" applyProtection="0"/>
    <xf numFmtId="0" fontId="66" fillId="13" borderId="0" applyNumberFormat="0" applyBorder="0" applyAlignment="0" applyProtection="0"/>
    <xf numFmtId="0" fontId="67" fillId="0" borderId="0"/>
    <xf numFmtId="0" fontId="38" fillId="0" borderId="0"/>
    <xf numFmtId="0" fontId="44" fillId="0" borderId="0"/>
    <xf numFmtId="0" fontId="33" fillId="0" borderId="0"/>
    <xf numFmtId="0" fontId="8" fillId="0" borderId="0"/>
    <xf numFmtId="0" fontId="8" fillId="0" borderId="0"/>
    <xf numFmtId="0" fontId="44" fillId="0" borderId="0"/>
    <xf numFmtId="0" fontId="44" fillId="0" borderId="0"/>
    <xf numFmtId="0" fontId="28" fillId="0" borderId="0"/>
    <xf numFmtId="0" fontId="33" fillId="0" borderId="0"/>
    <xf numFmtId="0" fontId="44" fillId="0" borderId="0"/>
    <xf numFmtId="0" fontId="33" fillId="0" borderId="0"/>
    <xf numFmtId="0" fontId="26" fillId="0" borderId="0"/>
    <xf numFmtId="0" fontId="44" fillId="0" borderId="0"/>
    <xf numFmtId="0" fontId="79" fillId="0" borderId="0"/>
    <xf numFmtId="0" fontId="33" fillId="10" borderId="6" applyNumberFormat="0" applyFont="0" applyAlignment="0" applyProtection="0"/>
    <xf numFmtId="0" fontId="48" fillId="16" borderId="7" applyNumberFormat="0" applyAlignment="0" applyProtection="0"/>
    <xf numFmtId="0" fontId="62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0" fillId="0" borderId="0" applyNumberFormat="0" applyFill="0" applyBorder="0" applyAlignment="0" applyProtection="0"/>
    <xf numFmtId="165" fontId="87" fillId="0" borderId="0" applyFont="0" applyFill="0" applyBorder="0" applyAlignment="0" applyProtection="0"/>
  </cellStyleXfs>
  <cellXfs count="113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10" xfId="0" applyFont="1" applyBorder="1" applyAlignment="1">
      <alignment horizontal="justify" wrapText="1"/>
    </xf>
    <xf numFmtId="0" fontId="7" fillId="18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166" fontId="13" fillId="0" borderId="10" xfId="48" applyNumberFormat="1" applyFont="1" applyBorder="1" applyAlignment="1">
      <alignment horizontal="left" vertical="center" wrapText="1"/>
    </xf>
    <xf numFmtId="0" fontId="4" fillId="19" borderId="10" xfId="0" applyFont="1" applyFill="1" applyBorder="1" applyAlignment="1">
      <alignment wrapText="1"/>
    </xf>
    <xf numFmtId="0" fontId="4" fillId="0" borderId="10" xfId="0" applyFont="1" applyBorder="1" applyAlignment="1">
      <alignment horizontal="justify"/>
    </xf>
    <xf numFmtId="0" fontId="4" fillId="0" borderId="10" xfId="0" applyFont="1" applyBorder="1"/>
    <xf numFmtId="0" fontId="7" fillId="20" borderId="10" xfId="0" applyFont="1" applyFill="1" applyBorder="1" applyAlignment="1">
      <alignment wrapText="1"/>
    </xf>
    <xf numFmtId="0" fontId="7" fillId="21" borderId="10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14" fillId="0" borderId="10" xfId="0" applyFont="1" applyBorder="1"/>
    <xf numFmtId="0" fontId="15" fillId="0" borderId="10" xfId="0" applyFont="1" applyBorder="1"/>
    <xf numFmtId="0" fontId="7" fillId="19" borderId="10" xfId="0" applyFont="1" applyFill="1" applyBorder="1" applyAlignment="1">
      <alignment horizontal="justify" wrapText="1"/>
    </xf>
    <xf numFmtId="0" fontId="7" fillId="19" borderId="10" xfId="0" applyFont="1" applyFill="1" applyBorder="1" applyAlignment="1">
      <alignment wrapText="1"/>
    </xf>
    <xf numFmtId="0" fontId="5" fillId="0" borderId="10" xfId="0" applyFont="1" applyBorder="1"/>
    <xf numFmtId="0" fontId="7" fillId="0" borderId="10" xfId="0" applyFont="1" applyBorder="1" applyAlignment="1">
      <alignment horizontal="justify"/>
    </xf>
    <xf numFmtId="0" fontId="15" fillId="0" borderId="10" xfId="0" applyFont="1" applyBorder="1" applyAlignment="1">
      <alignment wrapText="1"/>
    </xf>
    <xf numFmtId="0" fontId="21" fillId="20" borderId="0" xfId="0" applyFont="1" applyFill="1"/>
    <xf numFmtId="0" fontId="5" fillId="0" borderId="11" xfId="0" applyFont="1" applyBorder="1"/>
    <xf numFmtId="0" fontId="14" fillId="0" borderId="0" xfId="0" applyFont="1" applyAlignment="1">
      <alignment horizontal="right" wrapText="1"/>
    </xf>
    <xf numFmtId="0" fontId="22" fillId="0" borderId="10" xfId="0" applyFont="1" applyBorder="1"/>
    <xf numFmtId="0" fontId="23" fillId="0" borderId="10" xfId="0" applyFont="1" applyBorder="1" applyAlignment="1">
      <alignment horizontal="right"/>
    </xf>
    <xf numFmtId="0" fontId="12" fillId="0" borderId="10" xfId="0" applyFont="1" applyBorder="1"/>
    <xf numFmtId="3" fontId="5" fillId="0" borderId="10" xfId="0" applyNumberFormat="1" applyFont="1" applyBorder="1"/>
    <xf numFmtId="3" fontId="23" fillId="0" borderId="10" xfId="0" applyNumberFormat="1" applyFont="1" applyBorder="1"/>
    <xf numFmtId="0" fontId="14" fillId="0" borderId="10" xfId="0" applyFont="1" applyBorder="1" applyAlignment="1">
      <alignment horizontal="right"/>
    </xf>
    <xf numFmtId="0" fontId="4" fillId="0" borderId="0" xfId="0" applyFont="1" applyAlignment="1">
      <alignment wrapText="1"/>
    </xf>
    <xf numFmtId="0" fontId="16" fillId="0" borderId="10" xfId="0" applyFont="1" applyBorder="1"/>
    <xf numFmtId="0" fontId="7" fillId="22" borderId="10" xfId="0" applyFont="1" applyFill="1" applyBorder="1"/>
    <xf numFmtId="0" fontId="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wrapText="1"/>
    </xf>
    <xf numFmtId="3" fontId="5" fillId="0" borderId="0" xfId="0" applyNumberFormat="1" applyFont="1"/>
    <xf numFmtId="3" fontId="0" fillId="0" borderId="0" xfId="0" applyNumberFormat="1"/>
    <xf numFmtId="0" fontId="23" fillId="23" borderId="10" xfId="0" applyFont="1" applyFill="1" applyBorder="1"/>
    <xf numFmtId="0" fontId="23" fillId="22" borderId="10" xfId="0" applyFont="1" applyFill="1" applyBorder="1"/>
    <xf numFmtId="0" fontId="14" fillId="19" borderId="10" xfId="0" applyFont="1" applyFill="1" applyBorder="1"/>
    <xf numFmtId="0" fontId="15" fillId="0" borderId="10" xfId="0" applyFont="1" applyBorder="1" applyAlignment="1">
      <alignment horizontal="center"/>
    </xf>
    <xf numFmtId="0" fontId="0" fillId="0" borderId="10" xfId="0" applyBorder="1"/>
    <xf numFmtId="0" fontId="22" fillId="0" borderId="13" xfId="0" applyFont="1" applyBorder="1"/>
    <xf numFmtId="0" fontId="23" fillId="0" borderId="14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12" fillId="0" borderId="12" xfId="0" applyFont="1" applyBorder="1"/>
    <xf numFmtId="3" fontId="5" fillId="0" borderId="16" xfId="0" applyNumberFormat="1" applyFont="1" applyBorder="1"/>
    <xf numFmtId="0" fontId="14" fillId="0" borderId="12" xfId="0" applyFont="1" applyBorder="1"/>
    <xf numFmtId="0" fontId="22" fillId="0" borderId="12" xfId="0" applyFont="1" applyBorder="1"/>
    <xf numFmtId="0" fontId="14" fillId="0" borderId="16" xfId="0" applyFont="1" applyBorder="1" applyAlignment="1">
      <alignment horizontal="right"/>
    </xf>
    <xf numFmtId="0" fontId="5" fillId="0" borderId="12" xfId="0" applyFont="1" applyBorder="1"/>
    <xf numFmtId="0" fontId="14" fillId="0" borderId="17" xfId="0" applyFont="1" applyBorder="1"/>
    <xf numFmtId="0" fontId="14" fillId="0" borderId="18" xfId="0" applyFont="1" applyBorder="1"/>
    <xf numFmtId="0" fontId="16" fillId="0" borderId="15" xfId="0" applyFont="1" applyBorder="1" applyAlignment="1">
      <alignment horizontal="center" wrapText="1"/>
    </xf>
    <xf numFmtId="164" fontId="0" fillId="0" borderId="0" xfId="0" applyNumberFormat="1"/>
    <xf numFmtId="0" fontId="28" fillId="0" borderId="0" xfId="0" applyFont="1"/>
    <xf numFmtId="0" fontId="5" fillId="0" borderId="0" xfId="0" applyFont="1" applyAlignment="1">
      <alignment horizontal="right"/>
    </xf>
    <xf numFmtId="3" fontId="12" fillId="0" borderId="10" xfId="0" applyNumberFormat="1" applyFont="1" applyBorder="1"/>
    <xf numFmtId="164" fontId="28" fillId="0" borderId="0" xfId="0" applyNumberFormat="1" applyFont="1"/>
    <xf numFmtId="3" fontId="16" fillId="0" borderId="16" xfId="0" applyNumberFormat="1" applyFont="1" applyBorder="1"/>
    <xf numFmtId="0" fontId="20" fillId="0" borderId="0" xfId="0" applyFont="1" applyAlignment="1">
      <alignment wrapText="1"/>
    </xf>
    <xf numFmtId="0" fontId="0" fillId="0" borderId="13" xfId="0" applyBorder="1"/>
    <xf numFmtId="0" fontId="15" fillId="0" borderId="14" xfId="0" applyFont="1" applyBorder="1" applyAlignment="1">
      <alignment horizontal="center"/>
    </xf>
    <xf numFmtId="0" fontId="0" fillId="0" borderId="14" xfId="0" applyBorder="1"/>
    <xf numFmtId="0" fontId="16" fillId="0" borderId="14" xfId="0" applyFont="1" applyBorder="1" applyAlignment="1">
      <alignment horizontal="center" wrapText="1"/>
    </xf>
    <xf numFmtId="0" fontId="0" fillId="0" borderId="30" xfId="0" applyBorder="1"/>
    <xf numFmtId="0" fontId="0" fillId="0" borderId="37" xfId="0" applyBorder="1"/>
    <xf numFmtId="0" fontId="32" fillId="0" borderId="0" xfId="52" applyFont="1"/>
    <xf numFmtId="0" fontId="35" fillId="0" borderId="0" xfId="52" applyFont="1"/>
    <xf numFmtId="0" fontId="36" fillId="0" borderId="0" xfId="52" applyFont="1"/>
    <xf numFmtId="0" fontId="37" fillId="0" borderId="33" xfId="52" applyFont="1" applyBorder="1" applyAlignment="1">
      <alignment horizontal="center"/>
    </xf>
    <xf numFmtId="0" fontId="37" fillId="0" borderId="38" xfId="52" applyFont="1" applyBorder="1" applyAlignment="1">
      <alignment horizontal="center" vertical="center" wrapText="1"/>
    </xf>
    <xf numFmtId="0" fontId="39" fillId="0" borderId="0" xfId="52" applyFont="1" applyAlignment="1">
      <alignment horizontal="center"/>
    </xf>
    <xf numFmtId="0" fontId="37" fillId="0" borderId="32" xfId="52" applyFont="1" applyBorder="1" applyAlignment="1">
      <alignment horizontal="center"/>
    </xf>
    <xf numFmtId="3" fontId="32" fillId="0" borderId="0" xfId="52" applyNumberFormat="1" applyFont="1"/>
    <xf numFmtId="0" fontId="37" fillId="0" borderId="0" xfId="52" applyFont="1"/>
    <xf numFmtId="3" fontId="36" fillId="0" borderId="0" xfId="52" applyNumberFormat="1" applyFont="1"/>
    <xf numFmtId="0" fontId="0" fillId="0" borderId="41" xfId="0" applyBorder="1"/>
    <xf numFmtId="0" fontId="54" fillId="0" borderId="0" xfId="49" applyFont="1"/>
    <xf numFmtId="0" fontId="56" fillId="0" borderId="0" xfId="0" applyFont="1" applyAlignment="1">
      <alignment horizontal="center"/>
    </xf>
    <xf numFmtId="0" fontId="56" fillId="0" borderId="0" xfId="49" applyFont="1" applyAlignment="1">
      <alignment horizontal="center"/>
    </xf>
    <xf numFmtId="0" fontId="56" fillId="0" borderId="37" xfId="49" applyFont="1" applyBorder="1" applyAlignment="1">
      <alignment horizontal="center"/>
    </xf>
    <xf numFmtId="0" fontId="43" fillId="0" borderId="0" xfId="0" applyFont="1" applyAlignment="1">
      <alignment horizontal="right"/>
    </xf>
    <xf numFmtId="0" fontId="56" fillId="0" borderId="58" xfId="49" applyFont="1" applyBorder="1" applyAlignment="1">
      <alignment horizontal="center"/>
    </xf>
    <xf numFmtId="0" fontId="56" fillId="0" borderId="59" xfId="49" applyFont="1" applyBorder="1"/>
    <xf numFmtId="49" fontId="56" fillId="0" borderId="21" xfId="49" applyNumberFormat="1" applyFont="1" applyBorder="1" applyAlignment="1">
      <alignment horizontal="center"/>
    </xf>
    <xf numFmtId="0" fontId="56" fillId="0" borderId="32" xfId="49" applyFont="1" applyBorder="1" applyAlignment="1">
      <alignment horizontal="center"/>
    </xf>
    <xf numFmtId="0" fontId="56" fillId="0" borderId="55" xfId="49" applyFont="1" applyBorder="1" applyAlignment="1">
      <alignment horizontal="center"/>
    </xf>
    <xf numFmtId="0" fontId="56" fillId="0" borderId="54" xfId="49" applyFont="1" applyBorder="1"/>
    <xf numFmtId="2" fontId="56" fillId="0" borderId="35" xfId="49" applyNumberFormat="1" applyFont="1" applyBorder="1" applyAlignment="1">
      <alignment horizontal="center"/>
    </xf>
    <xf numFmtId="0" fontId="56" fillId="0" borderId="60" xfId="49" applyFont="1" applyBorder="1" applyAlignment="1">
      <alignment horizontal="center"/>
    </xf>
    <xf numFmtId="0" fontId="56" fillId="0" borderId="61" xfId="49" applyFont="1" applyBorder="1" applyAlignment="1">
      <alignment horizontal="center"/>
    </xf>
    <xf numFmtId="0" fontId="56" fillId="0" borderId="61" xfId="49" applyFont="1" applyBorder="1"/>
    <xf numFmtId="49" fontId="56" fillId="0" borderId="39" xfId="49" applyNumberFormat="1" applyFont="1" applyBorder="1" applyAlignment="1">
      <alignment horizontal="center"/>
    </xf>
    <xf numFmtId="0" fontId="56" fillId="0" borderId="34" xfId="49" applyFont="1" applyBorder="1" applyAlignment="1">
      <alignment horizontal="center"/>
    </xf>
    <xf numFmtId="0" fontId="56" fillId="0" borderId="55" xfId="49" applyFont="1" applyBorder="1"/>
    <xf numFmtId="3" fontId="54" fillId="0" borderId="34" xfId="49" applyNumberFormat="1" applyFont="1" applyBorder="1" applyAlignment="1">
      <alignment horizontal="center"/>
    </xf>
    <xf numFmtId="0" fontId="54" fillId="0" borderId="55" xfId="49" applyFont="1" applyBorder="1"/>
    <xf numFmtId="3" fontId="54" fillId="0" borderId="48" xfId="49" applyNumberFormat="1" applyFont="1" applyBorder="1"/>
    <xf numFmtId="3" fontId="56" fillId="0" borderId="12" xfId="49" applyNumberFormat="1" applyFont="1" applyBorder="1" applyAlignment="1">
      <alignment horizontal="center"/>
    </xf>
    <xf numFmtId="0" fontId="56" fillId="0" borderId="24" xfId="49" applyFont="1" applyBorder="1"/>
    <xf numFmtId="0" fontId="56" fillId="0" borderId="51" xfId="49" applyFont="1" applyBorder="1"/>
    <xf numFmtId="3" fontId="56" fillId="0" borderId="16" xfId="49" applyNumberFormat="1" applyFont="1" applyBorder="1"/>
    <xf numFmtId="3" fontId="56" fillId="0" borderId="34" xfId="49" applyNumberFormat="1" applyFont="1" applyBorder="1" applyAlignment="1">
      <alignment horizontal="center"/>
    </xf>
    <xf numFmtId="0" fontId="56" fillId="0" borderId="0" xfId="49" applyFont="1"/>
    <xf numFmtId="3" fontId="56" fillId="0" borderId="48" xfId="49" applyNumberFormat="1" applyFont="1" applyBorder="1"/>
    <xf numFmtId="0" fontId="28" fillId="0" borderId="55" xfId="49" applyFont="1" applyBorder="1"/>
    <xf numFmtId="3" fontId="56" fillId="0" borderId="17" xfId="49" applyNumberFormat="1" applyFont="1" applyBorder="1" applyAlignment="1">
      <alignment horizontal="center"/>
    </xf>
    <xf numFmtId="0" fontId="56" fillId="0" borderId="28" xfId="49" applyFont="1" applyBorder="1"/>
    <xf numFmtId="0" fontId="56" fillId="0" borderId="57" xfId="49" applyFont="1" applyBorder="1"/>
    <xf numFmtId="3" fontId="56" fillId="0" borderId="19" xfId="49" applyNumberFormat="1" applyFont="1" applyBorder="1"/>
    <xf numFmtId="3" fontId="56" fillId="0" borderId="52" xfId="49" applyNumberFormat="1" applyFont="1" applyBorder="1"/>
    <xf numFmtId="3" fontId="56" fillId="0" borderId="25" xfId="49" applyNumberFormat="1" applyFont="1" applyBorder="1"/>
    <xf numFmtId="3" fontId="56" fillId="0" borderId="22" xfId="49" applyNumberFormat="1" applyFont="1" applyBorder="1"/>
    <xf numFmtId="3" fontId="54" fillId="0" borderId="35" xfId="49" applyNumberFormat="1" applyFont="1" applyBorder="1"/>
    <xf numFmtId="3" fontId="56" fillId="0" borderId="23" xfId="49" applyNumberFormat="1" applyFont="1" applyBorder="1"/>
    <xf numFmtId="3" fontId="56" fillId="0" borderId="20" xfId="49" applyNumberFormat="1" applyFont="1" applyBorder="1" applyAlignment="1">
      <alignment horizontal="center"/>
    </xf>
    <xf numFmtId="0" fontId="56" fillId="0" borderId="56" xfId="49" applyFont="1" applyBorder="1"/>
    <xf numFmtId="3" fontId="56" fillId="0" borderId="29" xfId="49" applyNumberFormat="1" applyFont="1" applyBorder="1" applyAlignment="1">
      <alignment horizontal="center"/>
    </xf>
    <xf numFmtId="0" fontId="56" fillId="0" borderId="30" xfId="49" applyFont="1" applyBorder="1"/>
    <xf numFmtId="3" fontId="56" fillId="0" borderId="21" xfId="49" applyNumberFormat="1" applyFont="1" applyBorder="1"/>
    <xf numFmtId="3" fontId="54" fillId="0" borderId="32" xfId="49" applyNumberFormat="1" applyFont="1" applyBorder="1" applyAlignment="1">
      <alignment horizontal="center"/>
    </xf>
    <xf numFmtId="3" fontId="54" fillId="0" borderId="36" xfId="49" applyNumberFormat="1" applyFont="1" applyBorder="1" applyAlignment="1">
      <alignment horizontal="center"/>
    </xf>
    <xf numFmtId="0" fontId="54" fillId="0" borderId="61" xfId="49" applyFont="1" applyBorder="1"/>
    <xf numFmtId="0" fontId="54" fillId="0" borderId="37" xfId="49" applyFont="1" applyBorder="1"/>
    <xf numFmtId="3" fontId="54" fillId="0" borderId="39" xfId="49" applyNumberFormat="1" applyFont="1" applyBorder="1"/>
    <xf numFmtId="0" fontId="57" fillId="0" borderId="0" xfId="49" applyFont="1"/>
    <xf numFmtId="3" fontId="56" fillId="0" borderId="36" xfId="49" applyNumberFormat="1" applyFont="1" applyBorder="1" applyAlignment="1">
      <alignment horizontal="center"/>
    </xf>
    <xf numFmtId="3" fontId="58" fillId="0" borderId="62" xfId="49" applyNumberFormat="1" applyFont="1" applyBorder="1" applyAlignment="1">
      <alignment horizontal="center"/>
    </xf>
    <xf numFmtId="0" fontId="58" fillId="0" borderId="63" xfId="49" applyFont="1" applyBorder="1"/>
    <xf numFmtId="3" fontId="58" fillId="0" borderId="64" xfId="49" applyNumberFormat="1" applyFont="1" applyBorder="1"/>
    <xf numFmtId="3" fontId="58" fillId="0" borderId="0" xfId="49" applyNumberFormat="1" applyFont="1" applyAlignment="1">
      <alignment horizontal="center"/>
    </xf>
    <xf numFmtId="0" fontId="58" fillId="0" borderId="0" xfId="49" applyFont="1" applyAlignment="1">
      <alignment wrapText="1"/>
    </xf>
    <xf numFmtId="0" fontId="59" fillId="0" borderId="0" xfId="0" applyFont="1" applyAlignment="1">
      <alignment wrapText="1"/>
    </xf>
    <xf numFmtId="0" fontId="58" fillId="0" borderId="0" xfId="49" applyFont="1"/>
    <xf numFmtId="3" fontId="58" fillId="0" borderId="0" xfId="49" applyNumberFormat="1" applyFont="1"/>
    <xf numFmtId="0" fontId="54" fillId="0" borderId="40" xfId="49" applyFont="1" applyBorder="1"/>
    <xf numFmtId="0" fontId="27" fillId="0" borderId="24" xfId="49" applyFont="1" applyBorder="1"/>
    <xf numFmtId="0" fontId="27" fillId="0" borderId="55" xfId="49" applyFont="1" applyBorder="1"/>
    <xf numFmtId="3" fontId="60" fillId="0" borderId="34" xfId="49" applyNumberFormat="1" applyFont="1" applyBorder="1" applyAlignment="1">
      <alignment horizontal="center"/>
    </xf>
    <xf numFmtId="0" fontId="60" fillId="0" borderId="55" xfId="49" applyFont="1" applyBorder="1" applyAlignment="1">
      <alignment wrapText="1"/>
    </xf>
    <xf numFmtId="0" fontId="0" fillId="0" borderId="0" xfId="0" applyAlignment="1">
      <alignment wrapText="1"/>
    </xf>
    <xf numFmtId="0" fontId="60" fillId="0" borderId="55" xfId="49" applyFont="1" applyBorder="1"/>
    <xf numFmtId="3" fontId="60" fillId="0" borderId="48" xfId="49" applyNumberFormat="1" applyFont="1" applyBorder="1"/>
    <xf numFmtId="0" fontId="54" fillId="0" borderId="0" xfId="49" applyFont="1" applyAlignment="1">
      <alignment horizontal="center"/>
    </xf>
    <xf numFmtId="0" fontId="33" fillId="0" borderId="0" xfId="46"/>
    <xf numFmtId="0" fontId="43" fillId="0" borderId="0" xfId="46" applyFont="1" applyAlignment="1">
      <alignment horizontal="right"/>
    </xf>
    <xf numFmtId="3" fontId="54" fillId="0" borderId="0" xfId="49" applyNumberFormat="1" applyFont="1"/>
    <xf numFmtId="3" fontId="68" fillId="0" borderId="0" xfId="56" applyNumberFormat="1" applyFont="1"/>
    <xf numFmtId="3" fontId="68" fillId="0" borderId="0" xfId="56" applyNumberFormat="1" applyFont="1" applyAlignment="1">
      <alignment horizontal="center"/>
    </xf>
    <xf numFmtId="0" fontId="69" fillId="0" borderId="0" xfId="49" applyFont="1"/>
    <xf numFmtId="3" fontId="70" fillId="0" borderId="0" xfId="56" applyNumberFormat="1" applyFont="1"/>
    <xf numFmtId="0" fontId="32" fillId="0" borderId="0" xfId="53" applyFont="1" applyAlignment="1">
      <alignment horizontal="right"/>
    </xf>
    <xf numFmtId="3" fontId="72" fillId="0" borderId="46" xfId="56" applyNumberFormat="1" applyFont="1" applyBorder="1"/>
    <xf numFmtId="3" fontId="68" fillId="0" borderId="65" xfId="56" applyNumberFormat="1" applyFont="1" applyBorder="1"/>
    <xf numFmtId="3" fontId="72" fillId="0" borderId="46" xfId="56" applyNumberFormat="1" applyFont="1" applyBorder="1" applyAlignment="1">
      <alignment horizontal="center"/>
    </xf>
    <xf numFmtId="3" fontId="68" fillId="0" borderId="32" xfId="56" applyNumberFormat="1" applyFont="1" applyBorder="1" applyAlignment="1">
      <alignment horizontal="center"/>
    </xf>
    <xf numFmtId="3" fontId="72" fillId="0" borderId="57" xfId="56" applyNumberFormat="1" applyFont="1" applyBorder="1" applyAlignment="1">
      <alignment horizontal="center"/>
    </xf>
    <xf numFmtId="3" fontId="73" fillId="0" borderId="0" xfId="56" applyNumberFormat="1" applyFont="1"/>
    <xf numFmtId="3" fontId="73" fillId="0" borderId="66" xfId="56" applyNumberFormat="1" applyFont="1" applyBorder="1" applyAlignment="1">
      <alignment horizontal="center"/>
    </xf>
    <xf numFmtId="3" fontId="73" fillId="0" borderId="57" xfId="56" applyNumberFormat="1" applyFont="1" applyBorder="1"/>
    <xf numFmtId="3" fontId="74" fillId="0" borderId="0" xfId="56" applyNumberFormat="1" applyFont="1"/>
    <xf numFmtId="3" fontId="72" fillId="0" borderId="0" xfId="56" applyNumberFormat="1" applyFont="1"/>
    <xf numFmtId="3" fontId="72" fillId="0" borderId="65" xfId="56" applyNumberFormat="1" applyFont="1" applyBorder="1"/>
    <xf numFmtId="3" fontId="75" fillId="0" borderId="0" xfId="56" applyNumberFormat="1" applyFont="1"/>
    <xf numFmtId="3" fontId="72" fillId="0" borderId="32" xfId="56" applyNumberFormat="1" applyFont="1" applyBorder="1" applyAlignment="1">
      <alignment horizontal="center"/>
    </xf>
    <xf numFmtId="3" fontId="76" fillId="0" borderId="0" xfId="56" applyNumberFormat="1" applyFont="1"/>
    <xf numFmtId="3" fontId="76" fillId="0" borderId="32" xfId="56" applyNumberFormat="1" applyFont="1" applyBorder="1" applyAlignment="1">
      <alignment horizontal="center"/>
    </xf>
    <xf numFmtId="3" fontId="77" fillId="0" borderId="0" xfId="56" applyNumberFormat="1" applyFont="1"/>
    <xf numFmtId="3" fontId="78" fillId="0" borderId="0" xfId="56" applyNumberFormat="1" applyFont="1"/>
    <xf numFmtId="3" fontId="68" fillId="0" borderId="0" xfId="56" applyNumberFormat="1" applyFont="1" applyAlignment="1">
      <alignment horizontal="right"/>
    </xf>
    <xf numFmtId="3" fontId="68" fillId="0" borderId="0" xfId="57" applyNumberFormat="1" applyFont="1"/>
    <xf numFmtId="3" fontId="76" fillId="0" borderId="0" xfId="57" applyNumberFormat="1" applyFont="1"/>
    <xf numFmtId="3" fontId="72" fillId="0" borderId="65" xfId="57" applyNumberFormat="1" applyFont="1" applyBorder="1"/>
    <xf numFmtId="3" fontId="78" fillId="0" borderId="0" xfId="57" applyNumberFormat="1" applyFont="1"/>
    <xf numFmtId="3" fontId="73" fillId="0" borderId="46" xfId="56" applyNumberFormat="1" applyFont="1" applyBorder="1" applyAlignment="1">
      <alignment horizontal="center"/>
    </xf>
    <xf numFmtId="3" fontId="73" fillId="0" borderId="65" xfId="56" applyNumberFormat="1" applyFont="1" applyBorder="1"/>
    <xf numFmtId="3" fontId="73" fillId="0" borderId="65" xfId="57" applyNumberFormat="1" applyFont="1" applyBorder="1"/>
    <xf numFmtId="3" fontId="80" fillId="0" borderId="0" xfId="57" applyNumberFormat="1" applyFont="1"/>
    <xf numFmtId="3" fontId="78" fillId="0" borderId="65" xfId="57" applyNumberFormat="1" applyFont="1" applyBorder="1"/>
    <xf numFmtId="3" fontId="68" fillId="0" borderId="36" xfId="56" applyNumberFormat="1" applyFont="1" applyBorder="1" applyAlignment="1">
      <alignment horizontal="center"/>
    </xf>
    <xf numFmtId="3" fontId="68" fillId="0" borderId="37" xfId="56" applyNumberFormat="1" applyFont="1" applyBorder="1"/>
    <xf numFmtId="0" fontId="33" fillId="0" borderId="0" xfId="54"/>
    <xf numFmtId="0" fontId="81" fillId="0" borderId="0" xfId="54" applyFont="1"/>
    <xf numFmtId="0" fontId="40" fillId="0" borderId="0" xfId="0" applyFont="1"/>
    <xf numFmtId="0" fontId="83" fillId="0" borderId="0" xfId="0" applyFont="1"/>
    <xf numFmtId="164" fontId="14" fillId="0" borderId="28" xfId="0" applyNumberFormat="1" applyFont="1" applyBorder="1"/>
    <xf numFmtId="0" fontId="11" fillId="0" borderId="0" xfId="0" applyFont="1"/>
    <xf numFmtId="0" fontId="16" fillId="0" borderId="68" xfId="0" applyFont="1" applyBorder="1" applyAlignment="1">
      <alignment wrapText="1"/>
    </xf>
    <xf numFmtId="0" fontId="16" fillId="0" borderId="45" xfId="0" applyFont="1" applyBorder="1" applyAlignment="1">
      <alignment wrapText="1"/>
    </xf>
    <xf numFmtId="0" fontId="54" fillId="0" borderId="22" xfId="49" applyFont="1" applyBorder="1"/>
    <xf numFmtId="0" fontId="54" fillId="0" borderId="42" xfId="49" applyFont="1" applyBorder="1"/>
    <xf numFmtId="0" fontId="54" fillId="0" borderId="35" xfId="49" applyFont="1" applyBorder="1"/>
    <xf numFmtId="0" fontId="27" fillId="0" borderId="21" xfId="49" applyFont="1" applyBorder="1" applyAlignment="1">
      <alignment horizontal="center"/>
    </xf>
    <xf numFmtId="14" fontId="27" fillId="0" borderId="39" xfId="49" applyNumberFormat="1" applyFont="1" applyBorder="1" applyAlignment="1">
      <alignment horizontal="center"/>
    </xf>
    <xf numFmtId="0" fontId="54" fillId="0" borderId="21" xfId="49" applyFont="1" applyBorder="1"/>
    <xf numFmtId="0" fontId="0" fillId="0" borderId="35" xfId="0" applyBorder="1"/>
    <xf numFmtId="0" fontId="0" fillId="0" borderId="42" xfId="0" applyBorder="1"/>
    <xf numFmtId="0" fontId="54" fillId="0" borderId="44" xfId="49" applyFont="1" applyBorder="1"/>
    <xf numFmtId="0" fontId="27" fillId="0" borderId="15" xfId="0" applyFont="1" applyBorder="1"/>
    <xf numFmtId="0" fontId="4" fillId="0" borderId="0" xfId="0" applyFont="1" applyAlignment="1">
      <alignment horizontal="justify"/>
    </xf>
    <xf numFmtId="0" fontId="5" fillId="0" borderId="26" xfId="0" applyFont="1" applyBorder="1"/>
    <xf numFmtId="4" fontId="32" fillId="0" borderId="0" xfId="52" applyNumberFormat="1" applyFont="1"/>
    <xf numFmtId="0" fontId="0" fillId="0" borderId="78" xfId="0" applyBorder="1"/>
    <xf numFmtId="0" fontId="0" fillId="0" borderId="80" xfId="0" applyBorder="1"/>
    <xf numFmtId="0" fontId="0" fillId="0" borderId="82" xfId="0" applyBorder="1"/>
    <xf numFmtId="3" fontId="0" fillId="0" borderId="82" xfId="0" applyNumberFormat="1" applyBorder="1"/>
    <xf numFmtId="0" fontId="83" fillId="0" borderId="82" xfId="0" applyFont="1" applyBorder="1" applyAlignment="1">
      <alignment horizontal="justify"/>
    </xf>
    <xf numFmtId="166" fontId="84" fillId="0" borderId="82" xfId="48" applyNumberFormat="1" applyFont="1" applyBorder="1" applyAlignment="1">
      <alignment horizontal="left" vertical="center" wrapText="1"/>
    </xf>
    <xf numFmtId="166" fontId="13" fillId="0" borderId="82" xfId="48" applyNumberFormat="1" applyFont="1" applyBorder="1" applyAlignment="1">
      <alignment horizontal="left" vertical="center" wrapText="1"/>
    </xf>
    <xf numFmtId="0" fontId="4" fillId="0" borderId="82" xfId="0" applyFont="1" applyBorder="1" applyAlignment="1">
      <alignment horizontal="justify"/>
    </xf>
    <xf numFmtId="0" fontId="4" fillId="0" borderId="82" xfId="0" applyFont="1" applyBorder="1"/>
    <xf numFmtId="0" fontId="7" fillId="18" borderId="82" xfId="0" applyFont="1" applyFill="1" applyBorder="1" applyAlignment="1">
      <alignment wrapText="1"/>
    </xf>
    <xf numFmtId="164" fontId="27" fillId="18" borderId="83" xfId="0" applyNumberFormat="1" applyFont="1" applyFill="1" applyBorder="1"/>
    <xf numFmtId="0" fontId="7" fillId="20" borderId="82" xfId="0" applyFont="1" applyFill="1" applyBorder="1" applyAlignment="1">
      <alignment wrapText="1"/>
    </xf>
    <xf numFmtId="164" fontId="0" fillId="20" borderId="83" xfId="0" applyNumberFormat="1" applyFill="1" applyBorder="1"/>
    <xf numFmtId="0" fontId="7" fillId="21" borderId="82" xfId="0" applyFont="1" applyFill="1" applyBorder="1" applyAlignment="1">
      <alignment wrapText="1"/>
    </xf>
    <xf numFmtId="164" fontId="0" fillId="21" borderId="83" xfId="0" applyNumberFormat="1" applyFill="1" applyBorder="1"/>
    <xf numFmtId="0" fontId="4" fillId="19" borderId="82" xfId="0" applyFont="1" applyFill="1" applyBorder="1" applyAlignment="1">
      <alignment wrapText="1"/>
    </xf>
    <xf numFmtId="164" fontId="0" fillId="19" borderId="83" xfId="0" applyNumberFormat="1" applyFill="1" applyBorder="1"/>
    <xf numFmtId="0" fontId="7" fillId="22" borderId="82" xfId="0" applyFont="1" applyFill="1" applyBorder="1"/>
    <xf numFmtId="164" fontId="16" fillId="22" borderId="83" xfId="0" applyNumberFormat="1" applyFont="1" applyFill="1" applyBorder="1"/>
    <xf numFmtId="164" fontId="0" fillId="18" borderId="83" xfId="0" applyNumberFormat="1" applyFill="1" applyBorder="1"/>
    <xf numFmtId="0" fontId="4" fillId="0" borderId="82" xfId="0" applyFont="1" applyBorder="1" applyAlignment="1">
      <alignment wrapText="1"/>
    </xf>
    <xf numFmtId="0" fontId="15" fillId="0" borderId="81" xfId="0" applyFont="1" applyBorder="1"/>
    <xf numFmtId="0" fontId="0" fillId="0" borderId="84" xfId="0" applyBorder="1"/>
    <xf numFmtId="3" fontId="86" fillId="0" borderId="68" xfId="0" applyNumberFormat="1" applyFont="1" applyBorder="1"/>
    <xf numFmtId="3" fontId="86" fillId="0" borderId="45" xfId="0" applyNumberFormat="1" applyFont="1" applyBorder="1"/>
    <xf numFmtId="3" fontId="86" fillId="29" borderId="45" xfId="0" applyNumberFormat="1" applyFont="1" applyFill="1" applyBorder="1"/>
    <xf numFmtId="3" fontId="86" fillId="0" borderId="87" xfId="0" applyNumberFormat="1" applyFont="1" applyBorder="1"/>
    <xf numFmtId="3" fontId="86" fillId="0" borderId="88" xfId="0" applyNumberFormat="1" applyFont="1" applyBorder="1"/>
    <xf numFmtId="3" fontId="0" fillId="0" borderId="90" xfId="0" applyNumberFormat="1" applyBorder="1"/>
    <xf numFmtId="3" fontId="0" fillId="0" borderId="26" xfId="0" applyNumberFormat="1" applyBorder="1"/>
    <xf numFmtId="3" fontId="0" fillId="29" borderId="26" xfId="0" applyNumberFormat="1" applyFill="1" applyBorder="1"/>
    <xf numFmtId="3" fontId="0" fillId="0" borderId="89" xfId="0" applyNumberFormat="1" applyBorder="1"/>
    <xf numFmtId="3" fontId="0" fillId="0" borderId="91" xfId="0" applyNumberFormat="1" applyBorder="1"/>
    <xf numFmtId="3" fontId="86" fillId="0" borderId="41" xfId="0" applyNumberFormat="1" applyFont="1" applyBorder="1"/>
    <xf numFmtId="0" fontId="89" fillId="0" borderId="0" xfId="0" applyFont="1"/>
    <xf numFmtId="0" fontId="91" fillId="0" borderId="13" xfId="0" applyFont="1" applyBorder="1" applyAlignment="1">
      <alignment vertical="center"/>
    </xf>
    <xf numFmtId="0" fontId="91" fillId="0" borderId="15" xfId="0" applyFont="1" applyBorder="1" applyAlignment="1">
      <alignment vertical="center" wrapText="1"/>
    </xf>
    <xf numFmtId="167" fontId="90" fillId="0" borderId="73" xfId="63" applyNumberFormat="1" applyFont="1" applyFill="1" applyBorder="1" applyAlignment="1">
      <alignment horizontal="center" vertical="center" wrapText="1"/>
    </xf>
    <xf numFmtId="0" fontId="91" fillId="0" borderId="41" xfId="0" applyFont="1" applyBorder="1" applyAlignment="1">
      <alignment vertical="center" wrapText="1"/>
    </xf>
    <xf numFmtId="0" fontId="91" fillId="0" borderId="78" xfId="0" applyFont="1" applyBorder="1" applyAlignment="1">
      <alignment vertical="center"/>
    </xf>
    <xf numFmtId="0" fontId="91" fillId="0" borderId="79" xfId="0" applyFont="1" applyBorder="1" applyAlignment="1">
      <alignment vertical="center" wrapText="1"/>
    </xf>
    <xf numFmtId="167" fontId="90" fillId="0" borderId="72" xfId="63" applyNumberFormat="1" applyFont="1" applyFill="1" applyBorder="1" applyAlignment="1">
      <alignment horizontal="center" vertical="center" wrapText="1"/>
    </xf>
    <xf numFmtId="0" fontId="2" fillId="0" borderId="76" xfId="0" applyFont="1" applyBorder="1"/>
    <xf numFmtId="0" fontId="2" fillId="0" borderId="72" xfId="0" applyFont="1" applyBorder="1"/>
    <xf numFmtId="0" fontId="2" fillId="0" borderId="77" xfId="0" applyFont="1" applyBorder="1"/>
    <xf numFmtId="167" fontId="90" fillId="0" borderId="25" xfId="63" applyNumberFormat="1" applyFont="1" applyFill="1" applyBorder="1" applyAlignment="1">
      <alignment horizontal="center" vertical="center" wrapText="1"/>
    </xf>
    <xf numFmtId="0" fontId="2" fillId="0" borderId="25" xfId="0" applyFont="1" applyBorder="1"/>
    <xf numFmtId="3" fontId="94" fillId="0" borderId="91" xfId="0" applyNumberFormat="1" applyFont="1" applyBorder="1"/>
    <xf numFmtId="0" fontId="91" fillId="0" borderId="53" xfId="0" applyFont="1" applyBorder="1" applyAlignment="1">
      <alignment horizontal="right" vertical="center"/>
    </xf>
    <xf numFmtId="3" fontId="14" fillId="0" borderId="81" xfId="0" applyNumberFormat="1" applyFont="1" applyBorder="1"/>
    <xf numFmtId="0" fontId="15" fillId="0" borderId="81" xfId="0" applyFont="1" applyBorder="1" applyAlignment="1">
      <alignment wrapText="1"/>
    </xf>
    <xf numFmtId="3" fontId="16" fillId="22" borderId="82" xfId="0" applyNumberFormat="1" applyFont="1" applyFill="1" applyBorder="1"/>
    <xf numFmtId="0" fontId="7" fillId="0" borderId="82" xfId="0" applyFont="1" applyBorder="1" applyAlignment="1">
      <alignment wrapText="1"/>
    </xf>
    <xf numFmtId="0" fontId="27" fillId="0" borderId="82" xfId="0" applyFont="1" applyBorder="1"/>
    <xf numFmtId="0" fontId="7" fillId="19" borderId="82" xfId="0" applyFont="1" applyFill="1" applyBorder="1" applyAlignment="1">
      <alignment wrapText="1"/>
    </xf>
    <xf numFmtId="0" fontId="7" fillId="0" borderId="82" xfId="0" applyFont="1" applyBorder="1" applyAlignment="1">
      <alignment horizontal="justify" wrapText="1"/>
    </xf>
    <xf numFmtId="0" fontId="7" fillId="0" borderId="82" xfId="0" applyFont="1" applyBorder="1" applyAlignment="1">
      <alignment horizontal="justify"/>
    </xf>
    <xf numFmtId="0" fontId="7" fillId="19" borderId="82" xfId="0" applyFont="1" applyFill="1" applyBorder="1" applyAlignment="1">
      <alignment horizontal="justify" wrapText="1"/>
    </xf>
    <xf numFmtId="0" fontId="5" fillId="0" borderId="82" xfId="0" applyFont="1" applyBorder="1"/>
    <xf numFmtId="0" fontId="0" fillId="0" borderId="32" xfId="0" applyBorder="1"/>
    <xf numFmtId="0" fontId="0" fillId="0" borderId="33" xfId="0" applyBorder="1"/>
    <xf numFmtId="3" fontId="0" fillId="0" borderId="15" xfId="0" applyNumberFormat="1" applyBorder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36" fillId="0" borderId="32" xfId="52" applyNumberFormat="1" applyFont="1" applyBorder="1" applyAlignment="1">
      <alignment horizontal="center"/>
    </xf>
    <xf numFmtId="0" fontId="36" fillId="0" borderId="0" xfId="52" applyFont="1" applyAlignment="1">
      <alignment horizontal="center"/>
    </xf>
    <xf numFmtId="0" fontId="37" fillId="0" borderId="0" xfId="52" applyFont="1" applyAlignment="1">
      <alignment horizontal="center"/>
    </xf>
    <xf numFmtId="0" fontId="37" fillId="0" borderId="0" xfId="52" applyFont="1" applyAlignment="1">
      <alignment horizontal="center" vertical="center" wrapText="1"/>
    </xf>
    <xf numFmtId="0" fontId="32" fillId="0" borderId="0" xfId="52" applyFont="1" applyAlignment="1">
      <alignment horizontal="center"/>
    </xf>
    <xf numFmtId="0" fontId="40" fillId="0" borderId="0" xfId="51" applyFont="1"/>
    <xf numFmtId="0" fontId="40" fillId="0" borderId="0" xfId="51" applyFont="1" applyAlignment="1">
      <alignment wrapText="1"/>
    </xf>
    <xf numFmtId="0" fontId="41" fillId="0" borderId="0" xfId="52" applyFont="1"/>
    <xf numFmtId="3" fontId="37" fillId="0" borderId="0" xfId="52" applyNumberFormat="1" applyFont="1"/>
    <xf numFmtId="0" fontId="41" fillId="0" borderId="0" xfId="52" applyFont="1" applyAlignment="1">
      <alignment horizontal="justify"/>
    </xf>
    <xf numFmtId="0" fontId="42" fillId="0" borderId="0" xfId="52" applyFont="1"/>
    <xf numFmtId="3" fontId="36" fillId="0" borderId="0" xfId="52" applyNumberFormat="1" applyFont="1" applyAlignment="1">
      <alignment horizontal="center"/>
    </xf>
    <xf numFmtId="3" fontId="37" fillId="0" borderId="0" xfId="52" applyNumberFormat="1" applyFont="1" applyAlignment="1">
      <alignment horizontal="center"/>
    </xf>
    <xf numFmtId="3" fontId="37" fillId="0" borderId="32" xfId="52" applyNumberFormat="1" applyFont="1" applyBorder="1" applyAlignment="1">
      <alignment horizontal="center"/>
    </xf>
    <xf numFmtId="0" fontId="15" fillId="0" borderId="82" xfId="0" applyFont="1" applyBorder="1" applyAlignment="1">
      <alignment horizontal="center"/>
    </xf>
    <xf numFmtId="0" fontId="16" fillId="0" borderId="86" xfId="0" applyFont="1" applyBorder="1" applyAlignment="1">
      <alignment horizontal="center" wrapText="1"/>
    </xf>
    <xf numFmtId="0" fontId="12" fillId="0" borderId="82" xfId="0" applyFont="1" applyBorder="1" applyAlignment="1">
      <alignment horizontal="justify"/>
    </xf>
    <xf numFmtId="166" fontId="18" fillId="0" borderId="82" xfId="48" applyNumberFormat="1" applyFont="1" applyBorder="1" applyAlignment="1">
      <alignment horizontal="left" vertical="center"/>
    </xf>
    <xf numFmtId="3" fontId="7" fillId="0" borderId="82" xfId="0" applyNumberFormat="1" applyFont="1" applyBorder="1"/>
    <xf numFmtId="3" fontId="27" fillId="0" borderId="82" xfId="0" applyNumberFormat="1" applyFont="1" applyBorder="1"/>
    <xf numFmtId="3" fontId="5" fillId="0" borderId="82" xfId="0" applyNumberFormat="1" applyFont="1" applyBorder="1"/>
    <xf numFmtId="0" fontId="24" fillId="0" borderId="82" xfId="55" applyFont="1" applyBorder="1" applyAlignment="1">
      <alignment horizontal="left" vertical="center"/>
    </xf>
    <xf numFmtId="0" fontId="14" fillId="0" borderId="82" xfId="0" applyFont="1" applyBorder="1"/>
    <xf numFmtId="0" fontId="10" fillId="0" borderId="0" xfId="0" applyFont="1"/>
    <xf numFmtId="0" fontId="20" fillId="0" borderId="82" xfId="0" applyFont="1" applyBorder="1" applyAlignment="1">
      <alignment wrapText="1"/>
    </xf>
    <xf numFmtId="0" fontId="14" fillId="0" borderId="82" xfId="0" applyFont="1" applyBorder="1" applyAlignment="1">
      <alignment wrapText="1"/>
    </xf>
    <xf numFmtId="0" fontId="16" fillId="0" borderId="0" xfId="0" applyFont="1" applyAlignment="1">
      <alignment horizontal="center" wrapText="1"/>
    </xf>
    <xf numFmtId="164" fontId="27" fillId="0" borderId="0" xfId="0" applyNumberFormat="1" applyFont="1"/>
    <xf numFmtId="0" fontId="0" fillId="0" borderId="26" xfId="0" applyBorder="1"/>
    <xf numFmtId="0" fontId="15" fillId="0" borderId="0" xfId="0" applyFont="1" applyAlignment="1">
      <alignment horizontal="center"/>
    </xf>
    <xf numFmtId="0" fontId="24" fillId="0" borderId="0" xfId="55" applyFont="1" applyAlignment="1">
      <alignment horizontal="left" vertical="center"/>
    </xf>
    <xf numFmtId="0" fontId="14" fillId="0" borderId="0" xfId="0" applyFont="1"/>
    <xf numFmtId="3" fontId="7" fillId="0" borderId="0" xfId="0" applyNumberFormat="1" applyFont="1"/>
    <xf numFmtId="0" fontId="16" fillId="0" borderId="67" xfId="0" applyFont="1" applyBorder="1"/>
    <xf numFmtId="3" fontId="5" fillId="0" borderId="95" xfId="0" applyNumberFormat="1" applyFont="1" applyBorder="1"/>
    <xf numFmtId="3" fontId="16" fillId="0" borderId="95" xfId="0" applyNumberFormat="1" applyFont="1" applyBorder="1"/>
    <xf numFmtId="0" fontId="15" fillId="0" borderId="74" xfId="0" applyFont="1" applyBorder="1" applyAlignment="1">
      <alignment horizontal="center"/>
    </xf>
    <xf numFmtId="0" fontId="16" fillId="0" borderId="13" xfId="0" applyFont="1" applyBorder="1"/>
    <xf numFmtId="3" fontId="14" fillId="0" borderId="30" xfId="0" applyNumberFormat="1" applyFont="1" applyBorder="1"/>
    <xf numFmtId="3" fontId="0" fillId="0" borderId="98" xfId="0" applyNumberFormat="1" applyBorder="1"/>
    <xf numFmtId="3" fontId="0" fillId="0" borderId="42" xfId="0" applyNumberFormat="1" applyBorder="1"/>
    <xf numFmtId="0" fontId="0" fillId="0" borderId="102" xfId="0" applyBorder="1"/>
    <xf numFmtId="0" fontId="4" fillId="0" borderId="103" xfId="0" applyFont="1" applyBorder="1" applyAlignment="1">
      <alignment horizontal="justify"/>
    </xf>
    <xf numFmtId="0" fontId="0" fillId="0" borderId="103" xfId="0" applyBorder="1"/>
    <xf numFmtId="3" fontId="16" fillId="0" borderId="0" xfId="0" applyNumberFormat="1" applyFont="1"/>
    <xf numFmtId="0" fontId="12" fillId="0" borderId="103" xfId="0" applyFont="1" applyBorder="1" applyAlignment="1">
      <alignment horizontal="justify"/>
    </xf>
    <xf numFmtId="3" fontId="5" fillId="0" borderId="103" xfId="0" applyNumberFormat="1" applyFont="1" applyBorder="1"/>
    <xf numFmtId="3" fontId="0" fillId="0" borderId="103" xfId="0" applyNumberFormat="1" applyBorder="1"/>
    <xf numFmtId="0" fontId="0" fillId="0" borderId="11" xfId="0" applyBorder="1"/>
    <xf numFmtId="0" fontId="81" fillId="32" borderId="109" xfId="0" applyFont="1" applyFill="1" applyBorder="1" applyAlignment="1">
      <alignment horizontal="center" vertical="top" wrapText="1"/>
    </xf>
    <xf numFmtId="0" fontId="81" fillId="33" borderId="106" xfId="0" applyFont="1" applyFill="1" applyBorder="1" applyAlignment="1">
      <alignment horizontal="center" vertical="top" wrapText="1"/>
    </xf>
    <xf numFmtId="0" fontId="81" fillId="32" borderId="106" xfId="0" applyFont="1" applyFill="1" applyBorder="1" applyAlignment="1">
      <alignment horizontal="center" vertical="top" wrapText="1"/>
    </xf>
    <xf numFmtId="0" fontId="81" fillId="32" borderId="107" xfId="0" applyFont="1" applyFill="1" applyBorder="1" applyAlignment="1">
      <alignment horizontal="center" vertical="top" wrapText="1"/>
    </xf>
    <xf numFmtId="0" fontId="28" fillId="0" borderId="109" xfId="0" applyFont="1" applyBorder="1" applyAlignment="1">
      <alignment horizontal="left" vertical="top" wrapText="1"/>
    </xf>
    <xf numFmtId="3" fontId="28" fillId="33" borderId="106" xfId="0" applyNumberFormat="1" applyFont="1" applyFill="1" applyBorder="1" applyAlignment="1">
      <alignment horizontal="right" vertical="top" wrapText="1"/>
    </xf>
    <xf numFmtId="3" fontId="28" fillId="0" borderId="106" xfId="0" applyNumberFormat="1" applyFont="1" applyBorder="1" applyAlignment="1">
      <alignment horizontal="right" vertical="top" wrapText="1"/>
    </xf>
    <xf numFmtId="3" fontId="28" fillId="0" borderId="107" xfId="0" applyNumberFormat="1" applyFont="1" applyBorder="1" applyAlignment="1">
      <alignment horizontal="right" vertical="top" wrapText="1"/>
    </xf>
    <xf numFmtId="0" fontId="27" fillId="0" borderId="109" xfId="0" applyFont="1" applyBorder="1" applyAlignment="1">
      <alignment horizontal="left" vertical="top" wrapText="1"/>
    </xf>
    <xf numFmtId="3" fontId="27" fillId="33" borderId="106" xfId="0" applyNumberFormat="1" applyFont="1" applyFill="1" applyBorder="1" applyAlignment="1">
      <alignment horizontal="right" vertical="top" wrapText="1"/>
    </xf>
    <xf numFmtId="3" fontId="27" fillId="0" borderId="106" xfId="0" applyNumberFormat="1" applyFont="1" applyBorder="1" applyAlignment="1">
      <alignment horizontal="right" vertical="top" wrapText="1"/>
    </xf>
    <xf numFmtId="3" fontId="27" fillId="0" borderId="107" xfId="0" applyNumberFormat="1" applyFont="1" applyBorder="1" applyAlignment="1">
      <alignment horizontal="right" vertical="top" wrapText="1"/>
    </xf>
    <xf numFmtId="0" fontId="31" fillId="0" borderId="0" xfId="0" applyFont="1"/>
    <xf numFmtId="0" fontId="28" fillId="0" borderId="0" xfId="0" applyFont="1" applyAlignment="1">
      <alignment horizontal="left" vertical="top" wrapText="1"/>
    </xf>
    <xf numFmtId="3" fontId="28" fillId="0" borderId="0" xfId="0" applyNumberFormat="1" applyFont="1" applyAlignment="1">
      <alignment horizontal="right" vertical="top" wrapText="1"/>
    </xf>
    <xf numFmtId="3" fontId="27" fillId="0" borderId="0" xfId="0" applyNumberFormat="1" applyFont="1" applyAlignment="1">
      <alignment horizontal="right" vertical="top" wrapText="1"/>
    </xf>
    <xf numFmtId="3" fontId="27" fillId="0" borderId="110" xfId="0" applyNumberFormat="1" applyFont="1" applyBorder="1" applyAlignment="1">
      <alignment horizontal="right" vertical="top" wrapText="1"/>
    </xf>
    <xf numFmtId="0" fontId="86" fillId="0" borderId="0" xfId="0" applyFont="1" applyAlignment="1">
      <alignment horizontal="center"/>
    </xf>
    <xf numFmtId="3" fontId="31" fillId="0" borderId="0" xfId="0" applyNumberFormat="1" applyFont="1" applyAlignment="1">
      <alignment wrapText="1"/>
    </xf>
    <xf numFmtId="3" fontId="0" fillId="0" borderId="112" xfId="0" applyNumberFormat="1" applyBorder="1"/>
    <xf numFmtId="3" fontId="0" fillId="0" borderId="114" xfId="0" applyNumberFormat="1" applyBorder="1"/>
    <xf numFmtId="0" fontId="0" fillId="0" borderId="115" xfId="0" applyBorder="1"/>
    <xf numFmtId="3" fontId="86" fillId="29" borderId="46" xfId="0" applyNumberFormat="1" applyFont="1" applyFill="1" applyBorder="1"/>
    <xf numFmtId="3" fontId="0" fillId="29" borderId="40" xfId="0" applyNumberFormat="1" applyFill="1" applyBorder="1"/>
    <xf numFmtId="3" fontId="0" fillId="0" borderId="116" xfId="0" applyNumberFormat="1" applyBorder="1"/>
    <xf numFmtId="3" fontId="86" fillId="0" borderId="31" xfId="0" applyNumberFormat="1" applyFont="1" applyBorder="1"/>
    <xf numFmtId="3" fontId="86" fillId="0" borderId="21" xfId="0" applyNumberFormat="1" applyFont="1" applyBorder="1"/>
    <xf numFmtId="3" fontId="86" fillId="29" borderId="21" xfId="0" applyNumberFormat="1" applyFont="1" applyFill="1" applyBorder="1"/>
    <xf numFmtId="3" fontId="86" fillId="0" borderId="117" xfId="0" applyNumberFormat="1" applyFont="1" applyBorder="1"/>
    <xf numFmtId="3" fontId="86" fillId="0" borderId="118" xfId="0" applyNumberFormat="1" applyFont="1" applyBorder="1"/>
    <xf numFmtId="0" fontId="0" fillId="0" borderId="92" xfId="0" applyBorder="1"/>
    <xf numFmtId="0" fontId="0" fillId="29" borderId="35" xfId="0" applyFill="1" applyBorder="1"/>
    <xf numFmtId="3" fontId="0" fillId="0" borderId="35" xfId="0" applyNumberFormat="1" applyBorder="1"/>
    <xf numFmtId="0" fontId="89" fillId="0" borderId="32" xfId="0" applyFont="1" applyBorder="1"/>
    <xf numFmtId="0" fontId="89" fillId="0" borderId="92" xfId="0" applyFont="1" applyBorder="1"/>
    <xf numFmtId="0" fontId="89" fillId="0" borderId="33" xfId="0" applyFont="1" applyBorder="1"/>
    <xf numFmtId="0" fontId="89" fillId="0" borderId="35" xfId="0" applyFont="1" applyBorder="1"/>
    <xf numFmtId="3" fontId="0" fillId="29" borderId="35" xfId="0" applyNumberFormat="1" applyFill="1" applyBorder="1"/>
    <xf numFmtId="0" fontId="96" fillId="0" borderId="46" xfId="0" applyFont="1" applyBorder="1"/>
    <xf numFmtId="0" fontId="96" fillId="0" borderId="65" xfId="0" applyFont="1" applyBorder="1"/>
    <xf numFmtId="0" fontId="96" fillId="0" borderId="119" xfId="0" applyFont="1" applyBorder="1"/>
    <xf numFmtId="3" fontId="96" fillId="0" borderId="68" xfId="0" applyNumberFormat="1" applyFont="1" applyBorder="1"/>
    <xf numFmtId="3" fontId="96" fillId="0" borderId="45" xfId="0" applyNumberFormat="1" applyFont="1" applyBorder="1"/>
    <xf numFmtId="3" fontId="96" fillId="29" borderId="45" xfId="0" applyNumberFormat="1" applyFont="1" applyFill="1" applyBorder="1"/>
    <xf numFmtId="3" fontId="54" fillId="0" borderId="42" xfId="49" applyNumberFormat="1" applyFont="1" applyBorder="1"/>
    <xf numFmtId="0" fontId="27" fillId="0" borderId="35" xfId="49" applyFont="1" applyBorder="1" applyAlignment="1">
      <alignment horizontal="center"/>
    </xf>
    <xf numFmtId="0" fontId="86" fillId="0" borderId="0" xfId="0" applyFont="1" applyAlignment="1">
      <alignment wrapText="1"/>
    </xf>
    <xf numFmtId="0" fontId="86" fillId="0" borderId="13" xfId="0" applyFont="1" applyBorder="1"/>
    <xf numFmtId="3" fontId="0" fillId="0" borderId="14" xfId="0" applyNumberFormat="1" applyBorder="1"/>
    <xf numFmtId="0" fontId="86" fillId="0" borderId="102" xfId="0" applyFont="1" applyBorder="1"/>
    <xf numFmtId="0" fontId="0" fillId="0" borderId="112" xfId="0" applyBorder="1"/>
    <xf numFmtId="168" fontId="0" fillId="0" borderId="0" xfId="0" applyNumberFormat="1"/>
    <xf numFmtId="4" fontId="0" fillId="0" borderId="0" xfId="0" applyNumberFormat="1"/>
    <xf numFmtId="3" fontId="0" fillId="0" borderId="104" xfId="0" applyNumberFormat="1" applyBorder="1"/>
    <xf numFmtId="0" fontId="98" fillId="0" borderId="45" xfId="0" applyFont="1" applyBorder="1" applyAlignment="1">
      <alignment wrapText="1"/>
    </xf>
    <xf numFmtId="0" fontId="97" fillId="0" borderId="45" xfId="0" applyFont="1" applyBorder="1" applyAlignment="1">
      <alignment wrapText="1"/>
    </xf>
    <xf numFmtId="0" fontId="27" fillId="0" borderId="45" xfId="0" applyFont="1" applyBorder="1" applyAlignment="1">
      <alignment wrapText="1"/>
    </xf>
    <xf numFmtId="0" fontId="97" fillId="0" borderId="45" xfId="0" applyFont="1" applyBorder="1" applyAlignment="1">
      <alignment horizontal="center" wrapText="1"/>
    </xf>
    <xf numFmtId="0" fontId="5" fillId="0" borderId="122" xfId="0" applyFont="1" applyBorder="1"/>
    <xf numFmtId="169" fontId="0" fillId="0" borderId="82" xfId="63" applyNumberFormat="1" applyFont="1" applyBorder="1"/>
    <xf numFmtId="0" fontId="0" fillId="34" borderId="0" xfId="0" applyFill="1"/>
    <xf numFmtId="164" fontId="0" fillId="0" borderId="123" xfId="0" applyNumberFormat="1" applyBorder="1"/>
    <xf numFmtId="164" fontId="27" fillId="18" borderId="123" xfId="0" applyNumberFormat="1" applyFont="1" applyFill="1" applyBorder="1"/>
    <xf numFmtId="164" fontId="0" fillId="20" borderId="123" xfId="0" applyNumberFormat="1" applyFill="1" applyBorder="1"/>
    <xf numFmtId="164" fontId="0" fillId="21" borderId="123" xfId="0" applyNumberFormat="1" applyFill="1" applyBorder="1"/>
    <xf numFmtId="164" fontId="0" fillId="19" borderId="123" xfId="0" applyNumberFormat="1" applyFill="1" applyBorder="1"/>
    <xf numFmtId="164" fontId="16" fillId="22" borderId="123" xfId="0" applyNumberFormat="1" applyFont="1" applyFill="1" applyBorder="1"/>
    <xf numFmtId="3" fontId="0" fillId="0" borderId="123" xfId="0" applyNumberFormat="1" applyBorder="1"/>
    <xf numFmtId="164" fontId="0" fillId="0" borderId="124" xfId="0" applyNumberFormat="1" applyBorder="1"/>
    <xf numFmtId="164" fontId="27" fillId="18" borderId="124" xfId="0" applyNumberFormat="1" applyFont="1" applyFill="1" applyBorder="1"/>
    <xf numFmtId="164" fontId="0" fillId="20" borderId="124" xfId="0" applyNumberFormat="1" applyFill="1" applyBorder="1"/>
    <xf numFmtId="164" fontId="0" fillId="21" borderId="124" xfId="0" applyNumberFormat="1" applyFill="1" applyBorder="1"/>
    <xf numFmtId="164" fontId="0" fillId="19" borderId="124" xfId="0" applyNumberFormat="1" applyFill="1" applyBorder="1"/>
    <xf numFmtId="164" fontId="16" fillId="22" borderId="124" xfId="0" applyNumberFormat="1" applyFont="1" applyFill="1" applyBorder="1"/>
    <xf numFmtId="164" fontId="14" fillId="0" borderId="23" xfId="0" applyNumberFormat="1" applyFont="1" applyBorder="1"/>
    <xf numFmtId="169" fontId="0" fillId="0" borderId="124" xfId="63" applyNumberFormat="1" applyFont="1" applyBorder="1"/>
    <xf numFmtId="169" fontId="0" fillId="0" borderId="0" xfId="63" applyNumberFormat="1" applyFont="1"/>
    <xf numFmtId="169" fontId="28" fillId="0" borderId="0" xfId="63" applyNumberFormat="1" applyFont="1"/>
    <xf numFmtId="169" fontId="0" fillId="0" borderId="79" xfId="63" applyNumberFormat="1" applyFont="1" applyBorder="1"/>
    <xf numFmtId="169" fontId="28" fillId="0" borderId="82" xfId="63" applyNumberFormat="1" applyFont="1" applyBorder="1"/>
    <xf numFmtId="169" fontId="0" fillId="25" borderId="79" xfId="63" applyNumberFormat="1" applyFont="1" applyFill="1" applyBorder="1"/>
    <xf numFmtId="169" fontId="0" fillId="19" borderId="82" xfId="63" applyNumberFormat="1" applyFont="1" applyFill="1" applyBorder="1"/>
    <xf numFmtId="169" fontId="16" fillId="22" borderId="82" xfId="63" applyNumberFormat="1" applyFont="1" applyFill="1" applyBorder="1"/>
    <xf numFmtId="169" fontId="5" fillId="0" borderId="82" xfId="63" applyNumberFormat="1" applyFont="1" applyFill="1" applyBorder="1"/>
    <xf numFmtId="169" fontId="0" fillId="0" borderId="83" xfId="63" applyNumberFormat="1" applyFont="1" applyBorder="1"/>
    <xf numFmtId="169" fontId="14" fillId="0" borderId="81" xfId="63" applyNumberFormat="1" applyFont="1" applyBorder="1"/>
    <xf numFmtId="169" fontId="16" fillId="0" borderId="104" xfId="63" applyNumberFormat="1" applyFont="1" applyFill="1" applyBorder="1"/>
    <xf numFmtId="169" fontId="0" fillId="0" borderId="0" xfId="0" applyNumberFormat="1"/>
    <xf numFmtId="0" fontId="0" fillId="0" borderId="122" xfId="0" applyBorder="1"/>
    <xf numFmtId="3" fontId="0" fillId="0" borderId="122" xfId="0" applyNumberFormat="1" applyBorder="1"/>
    <xf numFmtId="3" fontId="0" fillId="0" borderId="121" xfId="0" applyNumberFormat="1" applyBorder="1"/>
    <xf numFmtId="0" fontId="16" fillId="0" borderId="63" xfId="0" applyFont="1" applyBorder="1"/>
    <xf numFmtId="0" fontId="27" fillId="0" borderId="62" xfId="0" applyFont="1" applyBorder="1"/>
    <xf numFmtId="0" fontId="27" fillId="0" borderId="64" xfId="0" applyFont="1" applyBorder="1"/>
    <xf numFmtId="0" fontId="15" fillId="0" borderId="62" xfId="0" applyFont="1" applyBorder="1" applyAlignment="1">
      <alignment horizontal="center"/>
    </xf>
    <xf numFmtId="0" fontId="15" fillId="0" borderId="53" xfId="0" applyFont="1" applyBorder="1" applyAlignment="1">
      <alignment horizontal="left" wrapText="1"/>
    </xf>
    <xf numFmtId="0" fontId="14" fillId="0" borderId="120" xfId="0" applyFont="1" applyBorder="1" applyAlignment="1">
      <alignment wrapText="1"/>
    </xf>
    <xf numFmtId="0" fontId="4" fillId="0" borderId="120" xfId="0" applyFont="1" applyBorder="1" applyAlignment="1">
      <alignment wrapText="1"/>
    </xf>
    <xf numFmtId="3" fontId="5" fillId="0" borderId="122" xfId="0" applyNumberFormat="1" applyFont="1" applyBorder="1"/>
    <xf numFmtId="0" fontId="14" fillId="0" borderId="80" xfId="0" applyFont="1" applyBorder="1" applyAlignment="1">
      <alignment wrapText="1"/>
    </xf>
    <xf numFmtId="3" fontId="27" fillId="0" borderId="104" xfId="0" applyNumberFormat="1" applyFont="1" applyBorder="1"/>
    <xf numFmtId="3" fontId="16" fillId="0" borderId="104" xfId="0" applyNumberFormat="1" applyFont="1" applyBorder="1"/>
    <xf numFmtId="0" fontId="27" fillId="0" borderId="67" xfId="0" applyFont="1" applyBorder="1"/>
    <xf numFmtId="169" fontId="0" fillId="0" borderId="41" xfId="63" applyNumberFormat="1" applyFont="1" applyBorder="1"/>
    <xf numFmtId="169" fontId="0" fillId="0" borderId="121" xfId="63" applyNumberFormat="1" applyFont="1" applyBorder="1"/>
    <xf numFmtId="169" fontId="27" fillId="0" borderId="98" xfId="63" applyNumberFormat="1" applyFont="1" applyBorder="1"/>
    <xf numFmtId="169" fontId="27" fillId="0" borderId="104" xfId="63" applyNumberFormat="1" applyFont="1" applyBorder="1"/>
    <xf numFmtId="169" fontId="0" fillId="0" borderId="44" xfId="63" applyNumberFormat="1" applyFont="1" applyBorder="1"/>
    <xf numFmtId="169" fontId="5" fillId="0" borderId="95" xfId="63" applyNumberFormat="1" applyFont="1" applyBorder="1"/>
    <xf numFmtId="169" fontId="5" fillId="0" borderId="105" xfId="63" applyNumberFormat="1" applyFont="1" applyBorder="1"/>
    <xf numFmtId="169" fontId="7" fillId="0" borderId="23" xfId="63" applyNumberFormat="1" applyFont="1" applyBorder="1"/>
    <xf numFmtId="166" fontId="25" fillId="0" borderId="127" xfId="48" applyNumberFormat="1" applyFont="1" applyBorder="1" applyAlignment="1">
      <alignment horizontal="left" vertical="center" wrapText="1"/>
    </xf>
    <xf numFmtId="0" fontId="24" fillId="0" borderId="127" xfId="0" applyFont="1" applyBorder="1"/>
    <xf numFmtId="0" fontId="24" fillId="0" borderId="128" xfId="0" applyFont="1" applyBorder="1"/>
    <xf numFmtId="166" fontId="19" fillId="0" borderId="129" xfId="48" applyNumberFormat="1" applyFont="1" applyBorder="1" applyAlignment="1">
      <alignment horizontal="left" vertical="center" wrapText="1"/>
    </xf>
    <xf numFmtId="3" fontId="5" fillId="0" borderId="100" xfId="0" applyNumberFormat="1" applyFont="1" applyBorder="1"/>
    <xf numFmtId="0" fontId="0" fillId="0" borderId="95" xfId="0" applyBorder="1"/>
    <xf numFmtId="169" fontId="0" fillId="0" borderId="95" xfId="63" applyNumberFormat="1" applyFont="1" applyBorder="1"/>
    <xf numFmtId="169" fontId="0" fillId="0" borderId="105" xfId="63" applyNumberFormat="1" applyFont="1" applyBorder="1"/>
    <xf numFmtId="0" fontId="5" fillId="0" borderId="42" xfId="0" applyFont="1" applyBorder="1"/>
    <xf numFmtId="0" fontId="5" fillId="0" borderId="124" xfId="0" applyFont="1" applyBorder="1"/>
    <xf numFmtId="3" fontId="5" fillId="0" borderId="124" xfId="0" applyNumberFormat="1" applyFont="1" applyBorder="1"/>
    <xf numFmtId="3" fontId="16" fillId="0" borderId="124" xfId="0" applyNumberFormat="1" applyFont="1" applyBorder="1"/>
    <xf numFmtId="169" fontId="5" fillId="0" borderId="124" xfId="63" applyNumberFormat="1" applyFont="1" applyBorder="1"/>
    <xf numFmtId="169" fontId="5" fillId="0" borderId="44" xfId="63" applyNumberFormat="1" applyFont="1" applyBorder="1"/>
    <xf numFmtId="3" fontId="16" fillId="0" borderId="121" xfId="0" applyNumberFormat="1" applyFont="1" applyBorder="1"/>
    <xf numFmtId="3" fontId="16" fillId="0" borderId="98" xfId="0" applyNumberFormat="1" applyFont="1" applyBorder="1"/>
    <xf numFmtId="3" fontId="28" fillId="0" borderId="30" xfId="0" applyNumberFormat="1" applyFont="1" applyBorder="1"/>
    <xf numFmtId="0" fontId="5" fillId="0" borderId="53" xfId="0" applyFont="1" applyBorder="1"/>
    <xf numFmtId="0" fontId="12" fillId="0" borderId="130" xfId="0" applyFont="1" applyBorder="1" applyAlignment="1">
      <alignment wrapText="1"/>
    </xf>
    <xf numFmtId="0" fontId="5" fillId="0" borderId="131" xfId="0" applyFont="1" applyBorder="1"/>
    <xf numFmtId="0" fontId="0" fillId="0" borderId="132" xfId="0" applyBorder="1"/>
    <xf numFmtId="3" fontId="24" fillId="0" borderId="131" xfId="0" applyNumberFormat="1" applyFont="1" applyBorder="1"/>
    <xf numFmtId="0" fontId="4" fillId="0" borderId="130" xfId="0" applyFont="1" applyBorder="1" applyAlignment="1">
      <alignment horizontal="justify"/>
    </xf>
    <xf numFmtId="0" fontId="7" fillId="0" borderId="133" xfId="0" applyFont="1" applyBorder="1" applyAlignment="1">
      <alignment horizontal="justify"/>
    </xf>
    <xf numFmtId="3" fontId="7" fillId="0" borderId="134" xfId="0" applyNumberFormat="1" applyFont="1" applyBorder="1"/>
    <xf numFmtId="3" fontId="7" fillId="0" borderId="135" xfId="0" applyNumberFormat="1" applyFont="1" applyBorder="1"/>
    <xf numFmtId="0" fontId="5" fillId="0" borderId="136" xfId="0" applyFont="1" applyBorder="1"/>
    <xf numFmtId="0" fontId="0" fillId="0" borderId="137" xfId="0" applyBorder="1"/>
    <xf numFmtId="169" fontId="5" fillId="0" borderId="131" xfId="63" applyNumberFormat="1" applyFont="1" applyBorder="1"/>
    <xf numFmtId="169" fontId="0" fillId="0" borderId="132" xfId="63" applyNumberFormat="1" applyFont="1" applyBorder="1"/>
    <xf numFmtId="169" fontId="0" fillId="0" borderId="132" xfId="0" applyNumberFormat="1" applyBorder="1"/>
    <xf numFmtId="3" fontId="28" fillId="0" borderId="82" xfId="0" applyNumberFormat="1" applyFont="1" applyBorder="1"/>
    <xf numFmtId="3" fontId="28" fillId="21" borderId="82" xfId="0" applyNumberFormat="1" applyFont="1" applyFill="1" applyBorder="1"/>
    <xf numFmtId="3" fontId="27" fillId="22" borderId="82" xfId="0" applyNumberFormat="1" applyFont="1" applyFill="1" applyBorder="1"/>
    <xf numFmtId="3" fontId="28" fillId="22" borderId="82" xfId="0" applyNumberFormat="1" applyFont="1" applyFill="1" applyBorder="1"/>
    <xf numFmtId="3" fontId="95" fillId="0" borderId="81" xfId="0" applyNumberFormat="1" applyFont="1" applyBorder="1"/>
    <xf numFmtId="0" fontId="95" fillId="0" borderId="74" xfId="0" applyFont="1" applyBorder="1" applyAlignment="1">
      <alignment horizontal="center"/>
    </xf>
    <xf numFmtId="0" fontId="27" fillId="0" borderId="130" xfId="0" applyFont="1" applyBorder="1" applyAlignment="1">
      <alignment horizontal="justify"/>
    </xf>
    <xf numFmtId="0" fontId="27" fillId="0" borderId="138" xfId="0" applyFont="1" applyBorder="1" applyAlignment="1">
      <alignment horizontal="justify"/>
    </xf>
    <xf numFmtId="0" fontId="28" fillId="0" borderId="130" xfId="0" applyFont="1" applyBorder="1" applyAlignment="1">
      <alignment horizontal="justify"/>
    </xf>
    <xf numFmtId="0" fontId="27" fillId="21" borderId="130" xfId="0" applyFont="1" applyFill="1" applyBorder="1" applyAlignment="1">
      <alignment horizontal="justify" wrapText="1"/>
    </xf>
    <xf numFmtId="0" fontId="27" fillId="0" borderId="130" xfId="0" applyFont="1" applyBorder="1" applyAlignment="1">
      <alignment horizontal="justify" wrapText="1"/>
    </xf>
    <xf numFmtId="0" fontId="27" fillId="22" borderId="130" xfId="0" applyFont="1" applyFill="1" applyBorder="1"/>
    <xf numFmtId="0" fontId="27" fillId="0" borderId="130" xfId="0" applyFont="1" applyBorder="1" applyAlignment="1">
      <alignment wrapText="1"/>
    </xf>
    <xf numFmtId="0" fontId="95" fillId="0" borderId="133" xfId="0" applyFont="1" applyBorder="1" applyAlignment="1">
      <alignment wrapText="1"/>
    </xf>
    <xf numFmtId="3" fontId="28" fillId="0" borderId="139" xfId="0" applyNumberFormat="1" applyFont="1" applyBorder="1"/>
    <xf numFmtId="3" fontId="28" fillId="21" borderId="139" xfId="0" applyNumberFormat="1" applyFont="1" applyFill="1" applyBorder="1"/>
    <xf numFmtId="3" fontId="27" fillId="22" borderId="139" xfId="0" applyNumberFormat="1" applyFont="1" applyFill="1" applyBorder="1"/>
    <xf numFmtId="3" fontId="28" fillId="22" borderId="139" xfId="0" applyNumberFormat="1" applyFont="1" applyFill="1" applyBorder="1"/>
    <xf numFmtId="3" fontId="95" fillId="0" borderId="140" xfId="0" applyNumberFormat="1" applyFont="1" applyBorder="1"/>
    <xf numFmtId="3" fontId="28" fillId="0" borderId="141" xfId="0" applyNumberFormat="1" applyFont="1" applyBorder="1"/>
    <xf numFmtId="3" fontId="28" fillId="21" borderId="141" xfId="0" applyNumberFormat="1" applyFont="1" applyFill="1" applyBorder="1"/>
    <xf numFmtId="3" fontId="27" fillId="22" borderId="141" xfId="0" applyNumberFormat="1" applyFont="1" applyFill="1" applyBorder="1"/>
    <xf numFmtId="3" fontId="95" fillId="0" borderId="135" xfId="0" applyNumberFormat="1" applyFont="1" applyBorder="1"/>
    <xf numFmtId="49" fontId="56" fillId="0" borderId="0" xfId="49" applyNumberFormat="1" applyFont="1" applyAlignment="1">
      <alignment horizontal="center"/>
    </xf>
    <xf numFmtId="2" fontId="56" fillId="0" borderId="0" xfId="49" applyNumberFormat="1" applyFont="1" applyAlignment="1">
      <alignment horizontal="center"/>
    </xf>
    <xf numFmtId="3" fontId="56" fillId="0" borderId="0" xfId="49" applyNumberFormat="1" applyFont="1"/>
    <xf numFmtId="0" fontId="27" fillId="0" borderId="0" xfId="0" applyFont="1" applyAlignment="1">
      <alignment horizontal="center"/>
    </xf>
    <xf numFmtId="0" fontId="81" fillId="0" borderId="0" xfId="0" applyFont="1"/>
    <xf numFmtId="0" fontId="103" fillId="0" borderId="0" xfId="53" applyFont="1" applyAlignment="1">
      <alignment horizontal="right"/>
    </xf>
    <xf numFmtId="0" fontId="82" fillId="0" borderId="29" xfId="0" applyFont="1" applyBorder="1"/>
    <xf numFmtId="3" fontId="82" fillId="0" borderId="49" xfId="0" applyNumberFormat="1" applyFont="1" applyBorder="1" applyAlignment="1">
      <alignment horizontal="right"/>
    </xf>
    <xf numFmtId="0" fontId="76" fillId="0" borderId="130" xfId="0" quotePrefix="1" applyFont="1" applyBorder="1"/>
    <xf numFmtId="3" fontId="76" fillId="0" borderId="132" xfId="0" quotePrefix="1" applyNumberFormat="1" applyFont="1" applyBorder="1" applyAlignment="1">
      <alignment horizontal="right"/>
    </xf>
    <xf numFmtId="49" fontId="81" fillId="0" borderId="32" xfId="0" applyNumberFormat="1" applyFont="1" applyBorder="1"/>
    <xf numFmtId="3" fontId="81" fillId="0" borderId="48" xfId="0" quotePrefix="1" applyNumberFormat="1" applyFont="1" applyBorder="1" applyAlignment="1">
      <alignment horizontal="right"/>
    </xf>
    <xf numFmtId="0" fontId="81" fillId="0" borderId="130" xfId="0" quotePrefix="1" applyFont="1" applyBorder="1"/>
    <xf numFmtId="3" fontId="81" fillId="0" borderId="132" xfId="0" quotePrefix="1" applyNumberFormat="1" applyFont="1" applyBorder="1" applyAlignment="1">
      <alignment horizontal="right"/>
    </xf>
    <xf numFmtId="0" fontId="82" fillId="0" borderId="133" xfId="0" applyFont="1" applyBorder="1"/>
    <xf numFmtId="3" fontId="82" fillId="0" borderId="98" xfId="0" quotePrefix="1" applyNumberFormat="1" applyFont="1" applyBorder="1" applyAlignment="1">
      <alignment horizontal="right"/>
    </xf>
    <xf numFmtId="0" fontId="76" fillId="0" borderId="0" xfId="0" applyFont="1"/>
    <xf numFmtId="169" fontId="81" fillId="0" borderId="0" xfId="63" applyNumberFormat="1" applyFont="1"/>
    <xf numFmtId="0" fontId="103" fillId="0" borderId="0" xfId="0" applyFont="1"/>
    <xf numFmtId="3" fontId="104" fillId="0" borderId="0" xfId="0" applyNumberFormat="1" applyFont="1"/>
    <xf numFmtId="0" fontId="81" fillId="0" borderId="0" xfId="54" applyFont="1" applyAlignment="1">
      <alignment horizontal="right"/>
    </xf>
    <xf numFmtId="0" fontId="105" fillId="0" borderId="0" xfId="0" applyFont="1"/>
    <xf numFmtId="3" fontId="105" fillId="0" borderId="0" xfId="0" applyNumberFormat="1" applyFont="1" applyAlignment="1">
      <alignment horizontal="right"/>
    </xf>
    <xf numFmtId="0" fontId="105" fillId="0" borderId="0" xfId="0" applyFont="1" applyAlignment="1">
      <alignment horizontal="center"/>
    </xf>
    <xf numFmtId="0" fontId="105" fillId="0" borderId="0" xfId="0" applyFont="1" applyAlignment="1">
      <alignment horizontal="left"/>
    </xf>
    <xf numFmtId="0" fontId="41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0" fontId="105" fillId="0" borderId="68" xfId="0" applyFont="1" applyBorder="1" applyAlignment="1">
      <alignment horizontal="center"/>
    </xf>
    <xf numFmtId="0" fontId="105" fillId="0" borderId="45" xfId="0" applyFont="1" applyBorder="1" applyAlignment="1">
      <alignment horizontal="center" wrapText="1"/>
    </xf>
    <xf numFmtId="0" fontId="105" fillId="0" borderId="46" xfId="0" applyFont="1" applyBorder="1" applyAlignment="1">
      <alignment horizontal="center" wrapText="1"/>
    </xf>
    <xf numFmtId="0" fontId="43" fillId="0" borderId="65" xfId="0" applyFont="1" applyBorder="1" applyAlignment="1">
      <alignment horizontal="center" wrapText="1"/>
    </xf>
    <xf numFmtId="0" fontId="105" fillId="0" borderId="46" xfId="0" applyFont="1" applyBorder="1" applyAlignment="1">
      <alignment horizontal="center"/>
    </xf>
    <xf numFmtId="0" fontId="105" fillId="0" borderId="45" xfId="0" applyFont="1" applyBorder="1" applyAlignment="1">
      <alignment horizontal="center"/>
    </xf>
    <xf numFmtId="0" fontId="106" fillId="0" borderId="74" xfId="0" applyFont="1" applyBorder="1" applyAlignment="1">
      <alignment horizontal="left"/>
    </xf>
    <xf numFmtId="3" fontId="107" fillId="0" borderId="47" xfId="63" applyNumberFormat="1" applyFont="1" applyBorder="1" applyAlignment="1">
      <alignment horizontal="right"/>
    </xf>
    <xf numFmtId="3" fontId="106" fillId="0" borderId="47" xfId="63" applyNumberFormat="1" applyFont="1" applyBorder="1" applyAlignment="1">
      <alignment horizontal="right"/>
    </xf>
    <xf numFmtId="3" fontId="106" fillId="0" borderId="74" xfId="63" applyNumberFormat="1" applyFont="1" applyBorder="1" applyAlignment="1">
      <alignment horizontal="right"/>
    </xf>
    <xf numFmtId="3" fontId="107" fillId="0" borderId="144" xfId="63" applyNumberFormat="1" applyFont="1" applyBorder="1" applyAlignment="1">
      <alignment horizontal="right"/>
    </xf>
    <xf numFmtId="0" fontId="106" fillId="0" borderId="130" xfId="0" applyFont="1" applyBorder="1" applyAlignment="1">
      <alignment horizontal="left"/>
    </xf>
    <xf numFmtId="3" fontId="106" fillId="0" borderId="141" xfId="63" applyNumberFormat="1" applyFont="1" applyBorder="1" applyAlignment="1">
      <alignment horizontal="right"/>
    </xf>
    <xf numFmtId="3" fontId="106" fillId="0" borderId="130" xfId="63" applyNumberFormat="1" applyFont="1" applyBorder="1" applyAlignment="1">
      <alignment horizontal="right"/>
    </xf>
    <xf numFmtId="3" fontId="106" fillId="0" borderId="141" xfId="63" applyNumberFormat="1" applyFont="1" applyFill="1" applyBorder="1" applyAlignment="1">
      <alignment horizontal="right"/>
    </xf>
    <xf numFmtId="3" fontId="106" fillId="0" borderId="144" xfId="63" applyNumberFormat="1" applyFont="1" applyBorder="1" applyAlignment="1">
      <alignment horizontal="right"/>
    </xf>
    <xf numFmtId="0" fontId="108" fillId="0" borderId="133" xfId="0" applyFont="1" applyBorder="1" applyAlignment="1">
      <alignment horizontal="center"/>
    </xf>
    <xf numFmtId="3" fontId="109" fillId="0" borderId="135" xfId="63" applyNumberFormat="1" applyFont="1" applyBorder="1" applyAlignment="1">
      <alignment horizontal="right"/>
    </xf>
    <xf numFmtId="3" fontId="108" fillId="0" borderId="135" xfId="63" applyNumberFormat="1" applyFont="1" applyBorder="1" applyAlignment="1">
      <alignment horizontal="right"/>
    </xf>
    <xf numFmtId="3" fontId="108" fillId="0" borderId="133" xfId="63" applyNumberFormat="1" applyFont="1" applyBorder="1" applyAlignment="1">
      <alignment horizontal="right"/>
    </xf>
    <xf numFmtId="0" fontId="108" fillId="0" borderId="133" xfId="0" applyFont="1" applyBorder="1"/>
    <xf numFmtId="3" fontId="109" fillId="0" borderId="145" xfId="63" applyNumberFormat="1" applyFont="1" applyBorder="1" applyAlignment="1">
      <alignment horizontal="right"/>
    </xf>
    <xf numFmtId="3" fontId="0" fillId="34" borderId="0" xfId="0" applyNumberFormat="1" applyFill="1" applyAlignment="1">
      <alignment horizontal="right"/>
    </xf>
    <xf numFmtId="169" fontId="0" fillId="0" borderId="0" xfId="63" applyNumberFormat="1" applyFont="1" applyAlignment="1">
      <alignment horizontal="right"/>
    </xf>
    <xf numFmtId="169" fontId="28" fillId="0" borderId="0" xfId="63" applyNumberFormat="1" applyFont="1" applyAlignment="1">
      <alignment horizontal="right"/>
    </xf>
    <xf numFmtId="0" fontId="95" fillId="0" borderId="0" xfId="0" applyFont="1" applyAlignment="1">
      <alignment wrapText="1"/>
    </xf>
    <xf numFmtId="169" fontId="68" fillId="0" borderId="0" xfId="63" applyNumberFormat="1" applyFont="1" applyFill="1" applyBorder="1"/>
    <xf numFmtId="169" fontId="72" fillId="0" borderId="68" xfId="63" applyNumberFormat="1" applyFont="1" applyFill="1" applyBorder="1"/>
    <xf numFmtId="169" fontId="68" fillId="0" borderId="0" xfId="63" applyNumberFormat="1" applyFont="1" applyBorder="1"/>
    <xf numFmtId="169" fontId="76" fillId="0" borderId="0" xfId="63" applyNumberFormat="1" applyFont="1" applyBorder="1"/>
    <xf numFmtId="169" fontId="72" fillId="0" borderId="0" xfId="63" applyNumberFormat="1" applyFont="1" applyBorder="1"/>
    <xf numFmtId="169" fontId="76" fillId="0" borderId="0" xfId="63" applyNumberFormat="1" applyFont="1" applyFill="1" applyBorder="1"/>
    <xf numFmtId="169" fontId="68" fillId="0" borderId="37" xfId="63" applyNumberFormat="1" applyFont="1" applyBorder="1"/>
    <xf numFmtId="0" fontId="43" fillId="0" borderId="0" xfId="52" applyFont="1"/>
    <xf numFmtId="0" fontId="105" fillId="0" borderId="0" xfId="52" applyFont="1"/>
    <xf numFmtId="0" fontId="31" fillId="0" borderId="30" xfId="52" applyFont="1" applyBorder="1" applyAlignment="1">
      <alignment horizontal="center"/>
    </xf>
    <xf numFmtId="0" fontId="105" fillId="0" borderId="21" xfId="52" applyFont="1" applyBorder="1" applyAlignment="1">
      <alignment horizontal="center"/>
    </xf>
    <xf numFmtId="0" fontId="31" fillId="0" borderId="31" xfId="52" applyFont="1" applyBorder="1" applyAlignment="1">
      <alignment horizontal="center"/>
    </xf>
    <xf numFmtId="0" fontId="43" fillId="0" borderId="32" xfId="52" applyFont="1" applyBorder="1"/>
    <xf numFmtId="0" fontId="31" fillId="0" borderId="33" xfId="52" applyFont="1" applyBorder="1" applyAlignment="1">
      <alignment horizontal="center"/>
    </xf>
    <xf numFmtId="0" fontId="105" fillId="0" borderId="35" xfId="52" applyFont="1" applyBorder="1" applyAlignment="1">
      <alignment horizontal="center"/>
    </xf>
    <xf numFmtId="0" fontId="43" fillId="0" borderId="36" xfId="52" applyFont="1" applyBorder="1"/>
    <xf numFmtId="0" fontId="31" fillId="0" borderId="38" xfId="52" applyFont="1" applyBorder="1" applyAlignment="1">
      <alignment horizontal="center" vertical="center" wrapText="1"/>
    </xf>
    <xf numFmtId="0" fontId="105" fillId="0" borderId="39" xfId="52" applyFont="1" applyBorder="1" applyAlignment="1">
      <alignment horizontal="center"/>
    </xf>
    <xf numFmtId="0" fontId="31" fillId="0" borderId="32" xfId="52" applyFont="1" applyBorder="1" applyAlignment="1">
      <alignment horizontal="center"/>
    </xf>
    <xf numFmtId="0" fontId="31" fillId="0" borderId="29" xfId="52" applyFont="1" applyBorder="1" applyAlignment="1">
      <alignment horizontal="center"/>
    </xf>
    <xf numFmtId="0" fontId="28" fillId="0" borderId="43" xfId="51" applyBorder="1"/>
    <xf numFmtId="3" fontId="105" fillId="0" borderId="35" xfId="52" applyNumberFormat="1" applyFont="1" applyBorder="1" applyAlignment="1">
      <alignment horizontal="center"/>
    </xf>
    <xf numFmtId="0" fontId="28" fillId="0" borderId="93" xfId="51" applyBorder="1"/>
    <xf numFmtId="3" fontId="105" fillId="0" borderId="22" xfId="52" applyNumberFormat="1" applyFont="1" applyBorder="1" applyAlignment="1">
      <alignment horizontal="center"/>
    </xf>
    <xf numFmtId="0" fontId="28" fillId="0" borderId="93" xfId="51" applyBorder="1" applyAlignment="1">
      <alignment wrapText="1"/>
    </xf>
    <xf numFmtId="3" fontId="105" fillId="0" borderId="44" xfId="52" applyNumberFormat="1" applyFont="1" applyBorder="1" applyAlignment="1">
      <alignment horizontal="center"/>
    </xf>
    <xf numFmtId="0" fontId="28" fillId="0" borderId="94" xfId="51" applyBorder="1"/>
    <xf numFmtId="0" fontId="31" fillId="0" borderId="46" xfId="52" applyFont="1" applyBorder="1"/>
    <xf numFmtId="3" fontId="31" fillId="0" borderId="45" xfId="52" applyNumberFormat="1" applyFont="1" applyBorder="1"/>
    <xf numFmtId="3" fontId="31" fillId="0" borderId="45" xfId="52" applyNumberFormat="1" applyFont="1" applyBorder="1" applyAlignment="1">
      <alignment horizontal="center"/>
    </xf>
    <xf numFmtId="3" fontId="105" fillId="0" borderId="47" xfId="52" applyNumberFormat="1" applyFont="1" applyBorder="1" applyAlignment="1">
      <alignment horizontal="center"/>
    </xf>
    <xf numFmtId="0" fontId="28" fillId="0" borderId="29" xfId="51" applyBorder="1"/>
    <xf numFmtId="3" fontId="105" fillId="0" borderId="42" xfId="52" applyNumberFormat="1" applyFont="1" applyBorder="1" applyAlignment="1">
      <alignment horizontal="center"/>
    </xf>
    <xf numFmtId="0" fontId="28" fillId="0" borderId="32" xfId="51" applyBorder="1"/>
    <xf numFmtId="0" fontId="31" fillId="0" borderId="46" xfId="52" applyFont="1" applyBorder="1" applyAlignment="1">
      <alignment horizontal="justify"/>
    </xf>
    <xf numFmtId="0" fontId="31" fillId="0" borderId="32" xfId="52" applyFont="1" applyBorder="1" applyAlignment="1">
      <alignment horizontal="justify"/>
    </xf>
    <xf numFmtId="3" fontId="105" fillId="0" borderId="21" xfId="52" applyNumberFormat="1" applyFont="1" applyBorder="1" applyAlignment="1">
      <alignment horizontal="center"/>
    </xf>
    <xf numFmtId="0" fontId="31" fillId="0" borderId="29" xfId="52" applyFont="1" applyBorder="1" applyAlignment="1">
      <alignment horizontal="justify"/>
    </xf>
    <xf numFmtId="0" fontId="105" fillId="0" borderId="46" xfId="52" applyFont="1" applyBorder="1"/>
    <xf numFmtId="3" fontId="105" fillId="0" borderId="45" xfId="52" applyNumberFormat="1" applyFont="1" applyBorder="1" applyAlignment="1">
      <alignment horizontal="center"/>
    </xf>
    <xf numFmtId="0" fontId="110" fillId="0" borderId="0" xfId="52" applyFont="1"/>
    <xf numFmtId="0" fontId="31" fillId="0" borderId="21" xfId="52" applyFont="1" applyBorder="1" applyAlignment="1">
      <alignment horizontal="center"/>
    </xf>
    <xf numFmtId="0" fontId="31" fillId="0" borderId="35" xfId="52" applyFont="1" applyBorder="1" applyAlignment="1">
      <alignment horizontal="center"/>
    </xf>
    <xf numFmtId="0" fontId="31" fillId="0" borderId="39" xfId="52" applyFont="1" applyBorder="1" applyAlignment="1">
      <alignment horizontal="center"/>
    </xf>
    <xf numFmtId="3" fontId="31" fillId="0" borderId="42" xfId="52" applyNumberFormat="1" applyFont="1" applyBorder="1" applyAlignment="1">
      <alignment horizontal="center"/>
    </xf>
    <xf numFmtId="3" fontId="31" fillId="0" borderId="22" xfId="52" applyNumberFormat="1" applyFont="1" applyBorder="1" applyAlignment="1">
      <alignment horizontal="center"/>
    </xf>
    <xf numFmtId="3" fontId="31" fillId="0" borderId="35" xfId="52" applyNumberFormat="1" applyFont="1" applyBorder="1" applyAlignment="1">
      <alignment horizontal="center"/>
    </xf>
    <xf numFmtId="0" fontId="44" fillId="0" borderId="0" xfId="52" applyFont="1"/>
    <xf numFmtId="0" fontId="43" fillId="0" borderId="35" xfId="52" applyFont="1" applyBorder="1"/>
    <xf numFmtId="0" fontId="43" fillId="0" borderId="39" xfId="52" applyFont="1" applyBorder="1"/>
    <xf numFmtId="0" fontId="105" fillId="0" borderId="45" xfId="52" applyFont="1" applyBorder="1" applyAlignment="1">
      <alignment horizontal="center"/>
    </xf>
    <xf numFmtId="0" fontId="105" fillId="0" borderId="46" xfId="52" applyFont="1" applyBorder="1" applyAlignment="1">
      <alignment horizontal="center"/>
    </xf>
    <xf numFmtId="0" fontId="31" fillId="0" borderId="39" xfId="52" applyFont="1" applyBorder="1" applyAlignment="1">
      <alignment horizontal="center" vertical="center" wrapText="1"/>
    </xf>
    <xf numFmtId="0" fontId="44" fillId="0" borderId="21" xfId="52" applyFont="1" applyBorder="1" applyAlignment="1">
      <alignment horizontal="center"/>
    </xf>
    <xf numFmtId="3" fontId="44" fillId="0" borderId="42" xfId="52" applyNumberFormat="1" applyFont="1" applyBorder="1"/>
    <xf numFmtId="3" fontId="44" fillId="0" borderId="39" xfId="52" applyNumberFormat="1" applyFont="1" applyBorder="1"/>
    <xf numFmtId="3" fontId="44" fillId="0" borderId="35" xfId="52" applyNumberFormat="1" applyFont="1" applyBorder="1"/>
    <xf numFmtId="3" fontId="44" fillId="0" borderId="45" xfId="52" applyNumberFormat="1" applyFont="1" applyBorder="1"/>
    <xf numFmtId="0" fontId="44" fillId="0" borderId="33" xfId="52" applyFont="1" applyBorder="1" applyAlignment="1">
      <alignment horizontal="center"/>
    </xf>
    <xf numFmtId="3" fontId="44" fillId="0" borderId="141" xfId="52" applyNumberFormat="1" applyFont="1" applyBorder="1"/>
    <xf numFmtId="3" fontId="44" fillId="0" borderId="22" xfId="52" applyNumberFormat="1" applyFont="1" applyBorder="1"/>
    <xf numFmtId="3" fontId="44" fillId="0" borderId="21" xfId="52" applyNumberFormat="1" applyFont="1" applyBorder="1"/>
    <xf numFmtId="0" fontId="86" fillId="0" borderId="26" xfId="0" applyFont="1" applyBorder="1" applyAlignment="1">
      <alignment horizontal="center"/>
    </xf>
    <xf numFmtId="0" fontId="94" fillId="37" borderId="26" xfId="0" applyFont="1" applyFill="1" applyBorder="1" applyAlignment="1">
      <alignment horizontal="center"/>
    </xf>
    <xf numFmtId="0" fontId="54" fillId="34" borderId="0" xfId="49" applyFont="1" applyFill="1"/>
    <xf numFmtId="3" fontId="73" fillId="0" borderId="36" xfId="56" applyNumberFormat="1" applyFont="1" applyBorder="1" applyAlignment="1">
      <alignment horizontal="center"/>
    </xf>
    <xf numFmtId="3" fontId="73" fillId="0" borderId="125" xfId="57" applyNumberFormat="1" applyFont="1" applyBorder="1"/>
    <xf numFmtId="3" fontId="68" fillId="0" borderId="46" xfId="56" applyNumberFormat="1" applyFont="1" applyBorder="1" applyAlignment="1">
      <alignment horizontal="center"/>
    </xf>
    <xf numFmtId="3" fontId="73" fillId="0" borderId="68" xfId="57" applyNumberFormat="1" applyFont="1" applyBorder="1"/>
    <xf numFmtId="3" fontId="72" fillId="0" borderId="98" xfId="56" applyNumberFormat="1" applyFont="1" applyBorder="1" applyAlignment="1">
      <alignment horizontal="center"/>
    </xf>
    <xf numFmtId="169" fontId="73" fillId="0" borderId="45" xfId="63" applyNumberFormat="1" applyFont="1" applyBorder="1" applyAlignment="1">
      <alignment horizontal="center"/>
    </xf>
    <xf numFmtId="3" fontId="72" fillId="0" borderId="45" xfId="56" applyNumberFormat="1" applyFont="1" applyBorder="1" applyAlignment="1">
      <alignment horizontal="center"/>
    </xf>
    <xf numFmtId="169" fontId="72" fillId="0" borderId="135" xfId="63" applyNumberFormat="1" applyFont="1" applyFill="1" applyBorder="1" applyAlignment="1">
      <alignment horizontal="center"/>
    </xf>
    <xf numFmtId="169" fontId="72" fillId="0" borderId="45" xfId="63" applyNumberFormat="1" applyFont="1" applyFill="1" applyBorder="1"/>
    <xf numFmtId="169" fontId="72" fillId="0" borderId="35" xfId="63" applyNumberFormat="1" applyFont="1" applyFill="1" applyBorder="1"/>
    <xf numFmtId="169" fontId="68" fillId="0" borderId="35" xfId="63" applyNumberFormat="1" applyFont="1" applyFill="1" applyBorder="1"/>
    <xf numFmtId="169" fontId="76" fillId="0" borderId="35" xfId="63" applyNumberFormat="1" applyFont="1" applyFill="1" applyBorder="1"/>
    <xf numFmtId="169" fontId="78" fillId="0" borderId="35" xfId="63" applyNumberFormat="1" applyFont="1" applyFill="1" applyBorder="1"/>
    <xf numFmtId="169" fontId="76" fillId="0" borderId="35" xfId="63" applyNumberFormat="1" applyFont="1" applyBorder="1"/>
    <xf numFmtId="169" fontId="68" fillId="0" borderId="35" xfId="63" applyNumberFormat="1" applyFont="1" applyBorder="1"/>
    <xf numFmtId="169" fontId="72" fillId="0" borderId="45" xfId="63" applyNumberFormat="1" applyFont="1" applyBorder="1"/>
    <xf numFmtId="169" fontId="73" fillId="0" borderId="45" xfId="63" applyNumberFormat="1" applyFont="1" applyBorder="1"/>
    <xf numFmtId="169" fontId="80" fillId="0" borderId="35" xfId="63" applyNumberFormat="1" applyFont="1" applyBorder="1"/>
    <xf numFmtId="169" fontId="72" fillId="0" borderId="25" xfId="63" applyNumberFormat="1" applyFont="1" applyFill="1" applyBorder="1" applyAlignment="1">
      <alignment horizontal="center"/>
    </xf>
    <xf numFmtId="169" fontId="72" fillId="0" borderId="33" xfId="63" applyNumberFormat="1" applyFont="1" applyFill="1" applyBorder="1"/>
    <xf numFmtId="169" fontId="68" fillId="0" borderId="33" xfId="63" applyNumberFormat="1" applyFont="1" applyFill="1" applyBorder="1"/>
    <xf numFmtId="169" fontId="76" fillId="0" borderId="33" xfId="63" applyNumberFormat="1" applyFont="1" applyFill="1" applyBorder="1"/>
    <xf numFmtId="169" fontId="78" fillId="0" borderId="33" xfId="63" applyNumberFormat="1" applyFont="1" applyFill="1" applyBorder="1"/>
    <xf numFmtId="169" fontId="76" fillId="0" borderId="33" xfId="63" applyNumberFormat="1" applyFont="1" applyBorder="1"/>
    <xf numFmtId="169" fontId="68" fillId="0" borderId="33" xfId="63" applyNumberFormat="1" applyFont="1" applyBorder="1"/>
    <xf numFmtId="169" fontId="72" fillId="0" borderId="68" xfId="63" applyNumberFormat="1" applyFont="1" applyBorder="1"/>
    <xf numFmtId="169" fontId="73" fillId="0" borderId="68" xfId="63" applyNumberFormat="1" applyFont="1" applyBorder="1" applyAlignment="1">
      <alignment horizontal="center"/>
    </xf>
    <xf numFmtId="169" fontId="76" fillId="0" borderId="33" xfId="63" applyNumberFormat="1" applyFont="1" applyBorder="1" applyAlignment="1">
      <alignment horizontal="center"/>
    </xf>
    <xf numFmtId="169" fontId="72" fillId="0" borderId="45" xfId="63" applyNumberFormat="1" applyFont="1" applyFill="1" applyBorder="1" applyAlignment="1">
      <alignment horizontal="center"/>
    </xf>
    <xf numFmtId="3" fontId="73" fillId="29" borderId="29" xfId="56" applyNumberFormat="1" applyFont="1" applyFill="1" applyBorder="1" applyAlignment="1">
      <alignment horizontal="center"/>
    </xf>
    <xf numFmtId="3" fontId="73" fillId="29" borderId="30" xfId="56" applyNumberFormat="1" applyFont="1" applyFill="1" applyBorder="1"/>
    <xf numFmtId="3" fontId="73" fillId="29" borderId="31" xfId="57" applyNumberFormat="1" applyFont="1" applyFill="1" applyBorder="1"/>
    <xf numFmtId="169" fontId="73" fillId="29" borderId="35" xfId="63" applyNumberFormat="1" applyFont="1" applyFill="1" applyBorder="1"/>
    <xf numFmtId="169" fontId="73" fillId="29" borderId="33" xfId="63" applyNumberFormat="1" applyFont="1" applyFill="1" applyBorder="1" applyAlignment="1">
      <alignment horizontal="center"/>
    </xf>
    <xf numFmtId="3" fontId="76" fillId="29" borderId="32" xfId="56" applyNumberFormat="1" applyFont="1" applyFill="1" applyBorder="1" applyAlignment="1">
      <alignment horizontal="center"/>
    </xf>
    <xf numFmtId="3" fontId="76" fillId="29" borderId="0" xfId="56" applyNumberFormat="1" applyFont="1" applyFill="1"/>
    <xf numFmtId="3" fontId="80" fillId="29" borderId="33" xfId="57" applyNumberFormat="1" applyFont="1" applyFill="1" applyBorder="1"/>
    <xf numFmtId="169" fontId="80" fillId="29" borderId="35" xfId="63" applyNumberFormat="1" applyFont="1" applyFill="1" applyBorder="1"/>
    <xf numFmtId="169" fontId="76" fillId="29" borderId="33" xfId="63" applyNumberFormat="1" applyFont="1" applyFill="1" applyBorder="1"/>
    <xf numFmtId="3" fontId="68" fillId="29" borderId="36" xfId="56" applyNumberFormat="1" applyFont="1" applyFill="1" applyBorder="1" applyAlignment="1">
      <alignment horizontal="center"/>
    </xf>
    <xf numFmtId="3" fontId="68" fillId="29" borderId="125" xfId="56" applyNumberFormat="1" applyFont="1" applyFill="1" applyBorder="1"/>
    <xf numFmtId="3" fontId="68" fillId="29" borderId="38" xfId="57" applyNumberFormat="1" applyFont="1" applyFill="1" applyBorder="1"/>
    <xf numFmtId="169" fontId="68" fillId="29" borderId="39" xfId="63" applyNumberFormat="1" applyFont="1" applyFill="1" applyBorder="1"/>
    <xf numFmtId="169" fontId="68" fillId="29" borderId="33" xfId="63" applyNumberFormat="1" applyFont="1" applyFill="1" applyBorder="1"/>
    <xf numFmtId="3" fontId="68" fillId="0" borderId="65" xfId="57" applyNumberFormat="1" applyFont="1" applyBorder="1"/>
    <xf numFmtId="169" fontId="78" fillId="0" borderId="45" xfId="63" applyNumberFormat="1" applyFont="1" applyBorder="1"/>
    <xf numFmtId="169" fontId="68" fillId="0" borderId="68" xfId="63" applyNumberFormat="1" applyFont="1" applyBorder="1"/>
    <xf numFmtId="169" fontId="73" fillId="0" borderId="38" xfId="63" applyNumberFormat="1" applyFont="1" applyBorder="1" applyAlignment="1">
      <alignment horizontal="center"/>
    </xf>
    <xf numFmtId="169" fontId="68" fillId="0" borderId="135" xfId="63" applyNumberFormat="1" applyFont="1" applyBorder="1"/>
    <xf numFmtId="169" fontId="76" fillId="0" borderId="100" xfId="63" applyNumberFormat="1" applyFont="1" applyBorder="1"/>
    <xf numFmtId="169" fontId="76" fillId="0" borderId="95" xfId="63" applyNumberFormat="1" applyFont="1" applyBorder="1"/>
    <xf numFmtId="169" fontId="68" fillId="0" borderId="25" xfId="63" applyNumberFormat="1" applyFont="1" applyBorder="1"/>
    <xf numFmtId="3" fontId="73" fillId="0" borderId="125" xfId="56" applyNumberFormat="1" applyFont="1" applyBorder="1"/>
    <xf numFmtId="3" fontId="68" fillId="0" borderId="126" xfId="56" applyNumberFormat="1" applyFont="1" applyBorder="1"/>
    <xf numFmtId="3" fontId="68" fillId="0" borderId="13" xfId="56" applyNumberFormat="1" applyFont="1" applyBorder="1" applyAlignment="1">
      <alignment horizontal="center"/>
    </xf>
    <xf numFmtId="3" fontId="68" fillId="0" borderId="14" xfId="56" applyNumberFormat="1" applyFont="1" applyBorder="1"/>
    <xf numFmtId="3" fontId="68" fillId="0" borderId="15" xfId="57" applyNumberFormat="1" applyFont="1" applyBorder="1"/>
    <xf numFmtId="3" fontId="68" fillId="0" borderId="131" xfId="56" applyNumberFormat="1" applyFont="1" applyBorder="1" applyAlignment="1">
      <alignment horizontal="center"/>
    </xf>
    <xf numFmtId="3" fontId="68" fillId="0" borderId="132" xfId="57" applyNumberFormat="1" applyFont="1" applyBorder="1"/>
    <xf numFmtId="3" fontId="68" fillId="0" borderId="134" xfId="56" applyNumberFormat="1" applyFont="1" applyBorder="1" applyAlignment="1">
      <alignment horizontal="center"/>
    </xf>
    <xf numFmtId="3" fontId="68" fillId="0" borderId="104" xfId="56" applyNumberFormat="1" applyFont="1" applyBorder="1"/>
    <xf numFmtId="3" fontId="68" fillId="0" borderId="98" xfId="57" applyNumberFormat="1" applyFont="1" applyBorder="1"/>
    <xf numFmtId="169" fontId="68" fillId="0" borderId="47" xfId="63" applyNumberFormat="1" applyFont="1" applyBorder="1"/>
    <xf numFmtId="169" fontId="68" fillId="0" borderId="141" xfId="63" applyNumberFormat="1" applyFont="1" applyBorder="1"/>
    <xf numFmtId="169" fontId="73" fillId="0" borderId="0" xfId="63" applyNumberFormat="1" applyFont="1" applyBorder="1" applyAlignment="1">
      <alignment horizontal="center"/>
    </xf>
    <xf numFmtId="169" fontId="72" fillId="0" borderId="47" xfId="63" applyNumberFormat="1" applyFont="1" applyBorder="1"/>
    <xf numFmtId="169" fontId="68" fillId="0" borderId="141" xfId="63" applyNumberFormat="1" applyFont="1" applyFill="1" applyBorder="1"/>
    <xf numFmtId="169" fontId="76" fillId="0" borderId="141" xfId="63" applyNumberFormat="1" applyFont="1" applyFill="1" applyBorder="1"/>
    <xf numFmtId="3" fontId="72" fillId="0" borderId="68" xfId="56" applyNumberFormat="1" applyFont="1" applyBorder="1"/>
    <xf numFmtId="3" fontId="73" fillId="29" borderId="46" xfId="56" applyNumberFormat="1" applyFont="1" applyFill="1" applyBorder="1" applyAlignment="1">
      <alignment horizontal="center"/>
    </xf>
    <xf numFmtId="3" fontId="73" fillId="29" borderId="68" xfId="57" applyNumberFormat="1" applyFont="1" applyFill="1" applyBorder="1"/>
    <xf numFmtId="169" fontId="73" fillId="29" borderId="45" xfId="63" applyNumberFormat="1" applyFont="1" applyFill="1" applyBorder="1" applyAlignment="1">
      <alignment horizontal="center"/>
    </xf>
    <xf numFmtId="3" fontId="73" fillId="29" borderId="65" xfId="56" applyNumberFormat="1" applyFont="1" applyFill="1" applyBorder="1" applyAlignment="1">
      <alignment horizontal="center" vertical="center"/>
    </xf>
    <xf numFmtId="0" fontId="27" fillId="19" borderId="130" xfId="0" applyFont="1" applyFill="1" applyBorder="1" applyAlignment="1">
      <alignment horizontal="justify" wrapText="1"/>
    </xf>
    <xf numFmtId="0" fontId="27" fillId="19" borderId="130" xfId="0" applyFont="1" applyFill="1" applyBorder="1" applyAlignment="1">
      <alignment wrapText="1"/>
    </xf>
    <xf numFmtId="0" fontId="28" fillId="0" borderId="43" xfId="0" applyFont="1" applyBorder="1" applyAlignment="1">
      <alignment horizontal="justify"/>
    </xf>
    <xf numFmtId="166" fontId="102" fillId="0" borderId="130" xfId="48" applyNumberFormat="1" applyFont="1" applyBorder="1" applyAlignment="1">
      <alignment horizontal="left" vertical="center" wrapText="1"/>
    </xf>
    <xf numFmtId="0" fontId="27" fillId="18" borderId="130" xfId="0" applyFont="1" applyFill="1" applyBorder="1" applyAlignment="1">
      <alignment wrapText="1"/>
    </xf>
    <xf numFmtId="0" fontId="27" fillId="20" borderId="130" xfId="0" applyFont="1" applyFill="1" applyBorder="1" applyAlignment="1">
      <alignment wrapText="1"/>
    </xf>
    <xf numFmtId="0" fontId="27" fillId="21" borderId="130" xfId="0" applyFont="1" applyFill="1" applyBorder="1" applyAlignment="1">
      <alignment wrapText="1"/>
    </xf>
    <xf numFmtId="0" fontId="28" fillId="19" borderId="130" xfId="0" applyFont="1" applyFill="1" applyBorder="1" applyAlignment="1">
      <alignment wrapText="1"/>
    </xf>
    <xf numFmtId="0" fontId="28" fillId="0" borderId="130" xfId="0" applyFont="1" applyBorder="1"/>
    <xf numFmtId="0" fontId="28" fillId="0" borderId="130" xfId="0" applyFont="1" applyBorder="1" applyAlignment="1">
      <alignment wrapText="1"/>
    </xf>
    <xf numFmtId="0" fontId="27" fillId="0" borderId="43" xfId="0" applyFont="1" applyBorder="1" applyAlignment="1">
      <alignment horizontal="justify"/>
    </xf>
    <xf numFmtId="169" fontId="28" fillId="0" borderId="42" xfId="63" applyNumberFormat="1" applyFont="1" applyBorder="1"/>
    <xf numFmtId="169" fontId="28" fillId="0" borderId="73" xfId="63" applyNumberFormat="1" applyFont="1" applyBorder="1"/>
    <xf numFmtId="169" fontId="28" fillId="0" borderId="41" xfId="63" applyNumberFormat="1" applyFont="1" applyBorder="1"/>
    <xf numFmtId="169" fontId="28" fillId="0" borderId="141" xfId="63" applyNumberFormat="1" applyFont="1" applyBorder="1"/>
    <xf numFmtId="169" fontId="28" fillId="0" borderId="95" xfId="63" applyNumberFormat="1" applyFont="1" applyBorder="1"/>
    <xf numFmtId="169" fontId="28" fillId="0" borderId="97" xfId="63" applyNumberFormat="1" applyFont="1" applyBorder="1"/>
    <xf numFmtId="169" fontId="28" fillId="19" borderId="141" xfId="63" applyNumberFormat="1" applyFont="1" applyFill="1" applyBorder="1"/>
    <xf numFmtId="169" fontId="28" fillId="19" borderId="95" xfId="63" applyNumberFormat="1" applyFont="1" applyFill="1" applyBorder="1"/>
    <xf numFmtId="169" fontId="28" fillId="19" borderId="97" xfId="63" applyNumberFormat="1" applyFont="1" applyFill="1" applyBorder="1"/>
    <xf numFmtId="169" fontId="27" fillId="22" borderId="141" xfId="63" applyNumberFormat="1" applyFont="1" applyFill="1" applyBorder="1"/>
    <xf numFmtId="169" fontId="27" fillId="22" borderId="96" xfId="63" applyNumberFormat="1" applyFont="1" applyFill="1" applyBorder="1"/>
    <xf numFmtId="169" fontId="28" fillId="0" borderId="101" xfId="63" applyNumberFormat="1" applyFont="1" applyBorder="1"/>
    <xf numFmtId="169" fontId="27" fillId="28" borderId="141" xfId="63" applyNumberFormat="1" applyFont="1" applyFill="1" applyBorder="1"/>
    <xf numFmtId="169" fontId="28" fillId="20" borderId="141" xfId="63" applyNumberFormat="1" applyFont="1" applyFill="1" applyBorder="1"/>
    <xf numFmtId="169" fontId="28" fillId="21" borderId="141" xfId="63" applyNumberFormat="1" applyFont="1" applyFill="1" applyBorder="1"/>
    <xf numFmtId="0" fontId="25" fillId="0" borderId="130" xfId="47" applyFont="1" applyBorder="1" applyAlignment="1">
      <alignment horizontal="left" vertical="center" wrapText="1"/>
    </xf>
    <xf numFmtId="166" fontId="25" fillId="0" borderId="130" xfId="48" applyNumberFormat="1" applyFont="1" applyBorder="1" applyAlignment="1">
      <alignment horizontal="left" vertical="center" wrapText="1"/>
    </xf>
    <xf numFmtId="0" fontId="24" fillId="0" borderId="130" xfId="55" applyFont="1" applyBorder="1" applyAlignment="1">
      <alignment horizontal="left" vertical="center"/>
    </xf>
    <xf numFmtId="166" fontId="100" fillId="0" borderId="130" xfId="48" applyNumberFormat="1" applyFont="1" applyBorder="1" applyAlignment="1">
      <alignment horizontal="left" vertical="center" wrapText="1"/>
    </xf>
    <xf numFmtId="0" fontId="24" fillId="0" borderId="130" xfId="0" applyFont="1" applyBorder="1"/>
    <xf numFmtId="166" fontId="19" fillId="0" borderId="133" xfId="48" applyNumberFormat="1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wrapText="1"/>
    </xf>
    <xf numFmtId="0" fontId="5" fillId="0" borderId="141" xfId="0" applyFont="1" applyBorder="1"/>
    <xf numFmtId="3" fontId="5" fillId="0" borderId="141" xfId="0" applyNumberFormat="1" applyFont="1" applyBorder="1"/>
    <xf numFmtId="3" fontId="85" fillId="0" borderId="141" xfId="0" applyNumberFormat="1" applyFont="1" applyBorder="1"/>
    <xf numFmtId="3" fontId="11" fillId="0" borderId="141" xfId="0" applyNumberFormat="1" applyFont="1" applyBorder="1"/>
    <xf numFmtId="3" fontId="16" fillId="0" borderId="141" xfId="0" applyNumberFormat="1" applyFont="1" applyBorder="1"/>
    <xf numFmtId="3" fontId="23" fillId="0" borderId="135" xfId="0" applyNumberFormat="1" applyFont="1" applyBorder="1"/>
    <xf numFmtId="3" fontId="29" fillId="0" borderId="141" xfId="0" applyNumberFormat="1" applyFont="1" applyBorder="1"/>
    <xf numFmtId="0" fontId="16" fillId="0" borderId="47" xfId="0" applyFont="1" applyBorder="1" applyAlignment="1">
      <alignment wrapText="1"/>
    </xf>
    <xf numFmtId="3" fontId="0" fillId="0" borderId="141" xfId="0" applyNumberFormat="1" applyBorder="1"/>
    <xf numFmtId="3" fontId="16" fillId="0" borderId="135" xfId="0" applyNumberFormat="1" applyFont="1" applyBorder="1"/>
    <xf numFmtId="3" fontId="56" fillId="0" borderId="58" xfId="49" applyNumberFormat="1" applyFont="1" applyBorder="1" applyAlignment="1">
      <alignment horizontal="center"/>
    </xf>
    <xf numFmtId="0" fontId="54" fillId="0" borderId="47" xfId="49" applyFont="1" applyBorder="1"/>
    <xf numFmtId="3" fontId="54" fillId="0" borderId="60" xfId="49" applyNumberFormat="1" applyFont="1" applyBorder="1" applyAlignment="1">
      <alignment horizontal="center"/>
    </xf>
    <xf numFmtId="3" fontId="54" fillId="0" borderId="146" xfId="49" applyNumberFormat="1" applyFont="1" applyBorder="1"/>
    <xf numFmtId="169" fontId="27" fillId="28" borderId="95" xfId="63" applyNumberFormat="1" applyFont="1" applyFill="1" applyBorder="1"/>
    <xf numFmtId="169" fontId="28" fillId="20" borderId="95" xfId="63" applyNumberFormat="1" applyFont="1" applyFill="1" applyBorder="1"/>
    <xf numFmtId="169" fontId="28" fillId="21" borderId="95" xfId="63" applyNumberFormat="1" applyFont="1" applyFill="1" applyBorder="1"/>
    <xf numFmtId="169" fontId="27" fillId="22" borderId="95" xfId="63" applyNumberFormat="1" applyFont="1" applyFill="1" applyBorder="1"/>
    <xf numFmtId="0" fontId="27" fillId="0" borderId="147" xfId="0" applyFont="1" applyBorder="1"/>
    <xf numFmtId="0" fontId="0" fillId="0" borderId="147" xfId="0" applyBorder="1"/>
    <xf numFmtId="3" fontId="5" fillId="0" borderId="147" xfId="0" applyNumberFormat="1" applyFont="1" applyBorder="1"/>
    <xf numFmtId="3" fontId="7" fillId="0" borderId="147" xfId="0" applyNumberFormat="1" applyFont="1" applyBorder="1"/>
    <xf numFmtId="0" fontId="90" fillId="31" borderId="45" xfId="0" applyFont="1" applyFill="1" applyBorder="1" applyAlignment="1">
      <alignment horizontal="center" vertical="center" wrapText="1"/>
    </xf>
    <xf numFmtId="0" fontId="90" fillId="30" borderId="45" xfId="0" applyFont="1" applyFill="1" applyBorder="1" applyAlignment="1">
      <alignment horizontal="center" wrapText="1"/>
    </xf>
    <xf numFmtId="0" fontId="90" fillId="30" borderId="45" xfId="0" applyFont="1" applyFill="1" applyBorder="1" applyAlignment="1">
      <alignment horizontal="center" vertical="center" wrapText="1"/>
    </xf>
    <xf numFmtId="0" fontId="91" fillId="0" borderId="148" xfId="0" applyFont="1" applyBorder="1" applyAlignment="1">
      <alignment vertical="center"/>
    </xf>
    <xf numFmtId="0" fontId="2" fillId="0" borderId="43" xfId="0" applyFont="1" applyBorder="1"/>
    <xf numFmtId="0" fontId="92" fillId="31" borderId="45" xfId="0" applyFont="1" applyFill="1" applyBorder="1" applyAlignment="1">
      <alignment vertical="center"/>
    </xf>
    <xf numFmtId="0" fontId="91" fillId="0" borderId="149" xfId="0" applyFont="1" applyBorder="1" applyAlignment="1">
      <alignment vertical="center" wrapText="1"/>
    </xf>
    <xf numFmtId="0" fontId="2" fillId="0" borderId="73" xfId="0" applyFont="1" applyBorder="1"/>
    <xf numFmtId="0" fontId="93" fillId="31" borderId="45" xfId="0" applyFont="1" applyFill="1" applyBorder="1" applyAlignment="1">
      <alignment horizontal="justify" vertical="center" wrapText="1"/>
    </xf>
    <xf numFmtId="167" fontId="93" fillId="31" borderId="45" xfId="0" applyNumberFormat="1" applyFont="1" applyFill="1" applyBorder="1" applyAlignment="1">
      <alignment horizontal="center" vertical="center" wrapText="1"/>
    </xf>
    <xf numFmtId="0" fontId="86" fillId="0" borderId="45" xfId="0" applyFont="1" applyBorder="1"/>
    <xf numFmtId="0" fontId="86" fillId="0" borderId="87" xfId="0" applyFont="1" applyBorder="1"/>
    <xf numFmtId="3" fontId="86" fillId="0" borderId="46" xfId="0" applyNumberFormat="1" applyFont="1" applyBorder="1"/>
    <xf numFmtId="3" fontId="0" fillId="0" borderId="40" xfId="0" applyNumberFormat="1" applyBorder="1"/>
    <xf numFmtId="3" fontId="0" fillId="0" borderId="53" xfId="0" applyNumberFormat="1" applyBorder="1"/>
    <xf numFmtId="3" fontId="0" fillId="0" borderId="41" xfId="0" applyNumberFormat="1" applyBorder="1"/>
    <xf numFmtId="3" fontId="99" fillId="0" borderId="91" xfId="0" applyNumberFormat="1" applyFont="1" applyBorder="1"/>
    <xf numFmtId="3" fontId="99" fillId="0" borderId="26" xfId="0" applyNumberFormat="1" applyFont="1" applyBorder="1"/>
    <xf numFmtId="3" fontId="99" fillId="29" borderId="40" xfId="0" applyNumberFormat="1" applyFont="1" applyFill="1" applyBorder="1"/>
    <xf numFmtId="3" fontId="86" fillId="0" borderId="29" xfId="0" applyNumberFormat="1" applyFont="1" applyBorder="1"/>
    <xf numFmtId="3" fontId="96" fillId="0" borderId="46" xfId="0" applyNumberFormat="1" applyFont="1" applyBorder="1"/>
    <xf numFmtId="0" fontId="24" fillId="0" borderId="152" xfId="0" applyFont="1" applyBorder="1"/>
    <xf numFmtId="169" fontId="0" fillId="0" borderId="151" xfId="63" applyNumberFormat="1" applyFont="1" applyBorder="1"/>
    <xf numFmtId="169" fontId="5" fillId="0" borderId="153" xfId="63" applyNumberFormat="1" applyFont="1" applyBorder="1"/>
    <xf numFmtId="3" fontId="16" fillId="0" borderId="150" xfId="0" applyNumberFormat="1" applyFont="1" applyBorder="1"/>
    <xf numFmtId="0" fontId="114" fillId="0" borderId="0" xfId="0" applyFont="1"/>
    <xf numFmtId="0" fontId="94" fillId="0" borderId="0" xfId="0" applyFont="1"/>
    <xf numFmtId="0" fontId="94" fillId="0" borderId="26" xfId="0" applyFont="1" applyBorder="1" applyAlignment="1">
      <alignment horizontal="center"/>
    </xf>
    <xf numFmtId="0" fontId="94" fillId="0" borderId="26" xfId="0" applyFont="1" applyBorder="1" applyAlignment="1">
      <alignment wrapText="1"/>
    </xf>
    <xf numFmtId="169" fontId="94" fillId="0" borderId="26" xfId="63" applyNumberFormat="1" applyFont="1" applyBorder="1" applyAlignment="1">
      <alignment wrapText="1"/>
    </xf>
    <xf numFmtId="0" fontId="99" fillId="0" borderId="26" xfId="0" applyFont="1" applyBorder="1" applyAlignment="1">
      <alignment wrapText="1"/>
    </xf>
    <xf numFmtId="0" fontId="94" fillId="37" borderId="26" xfId="0" applyFont="1" applyFill="1" applyBorder="1" applyAlignment="1">
      <alignment wrapText="1"/>
    </xf>
    <xf numFmtId="0" fontId="115" fillId="0" borderId="26" xfId="0" applyFont="1" applyBorder="1" applyAlignment="1">
      <alignment wrapText="1"/>
    </xf>
    <xf numFmtId="169" fontId="90" fillId="0" borderId="67" xfId="0" applyNumberFormat="1" applyFont="1" applyBorder="1"/>
    <xf numFmtId="169" fontId="90" fillId="36" borderId="67" xfId="0" applyNumberFormat="1" applyFont="1" applyFill="1" applyBorder="1"/>
    <xf numFmtId="0" fontId="94" fillId="0" borderId="0" xfId="0" applyFont="1" applyAlignment="1">
      <alignment horizontal="center"/>
    </xf>
    <xf numFmtId="169" fontId="94" fillId="0" borderId="0" xfId="0" applyNumberFormat="1" applyFont="1"/>
    <xf numFmtId="0" fontId="112" fillId="0" borderId="0" xfId="0" applyFont="1"/>
    <xf numFmtId="0" fontId="113" fillId="0" borderId="0" xfId="0" applyFont="1"/>
    <xf numFmtId="0" fontId="94" fillId="0" borderId="0" xfId="0" applyFont="1" applyAlignment="1">
      <alignment wrapText="1"/>
    </xf>
    <xf numFmtId="3" fontId="116" fillId="0" borderId="0" xfId="56" applyNumberFormat="1" applyFont="1"/>
    <xf numFmtId="169" fontId="0" fillId="0" borderId="82" xfId="63" applyNumberFormat="1" applyFont="1" applyFill="1" applyBorder="1"/>
    <xf numFmtId="169" fontId="28" fillId="0" borderId="82" xfId="63" applyNumberFormat="1" applyFont="1" applyFill="1" applyBorder="1"/>
    <xf numFmtId="169" fontId="0" fillId="0" borderId="103" xfId="63" applyNumberFormat="1" applyFont="1" applyBorder="1"/>
    <xf numFmtId="3" fontId="28" fillId="0" borderId="155" xfId="0" applyNumberFormat="1" applyFont="1" applyBorder="1"/>
    <xf numFmtId="0" fontId="27" fillId="0" borderId="156" xfId="0" applyFont="1" applyBorder="1" applyAlignment="1">
      <alignment horizontal="justify"/>
    </xf>
    <xf numFmtId="3" fontId="28" fillId="0" borderId="157" xfId="0" applyNumberFormat="1" applyFont="1" applyBorder="1"/>
    <xf numFmtId="3" fontId="28" fillId="0" borderId="158" xfId="0" applyNumberFormat="1" applyFont="1" applyBorder="1"/>
    <xf numFmtId="0" fontId="28" fillId="0" borderId="82" xfId="0" applyFont="1" applyBorder="1" applyAlignment="1">
      <alignment horizontal="justify"/>
    </xf>
    <xf numFmtId="169" fontId="28" fillId="0" borderId="157" xfId="63" applyNumberFormat="1" applyFont="1" applyBorder="1"/>
    <xf numFmtId="169" fontId="28" fillId="0" borderId="159" xfId="63" applyNumberFormat="1" applyFont="1" applyBorder="1"/>
    <xf numFmtId="0" fontId="28" fillId="0" borderId="160" xfId="0" applyFont="1" applyBorder="1" applyAlignment="1">
      <alignment horizontal="left" vertical="top" wrapText="1"/>
    </xf>
    <xf numFmtId="3" fontId="28" fillId="33" borderId="155" xfId="0" applyNumberFormat="1" applyFont="1" applyFill="1" applyBorder="1" applyAlignment="1">
      <alignment horizontal="right" vertical="top" wrapText="1"/>
    </xf>
    <xf numFmtId="3" fontId="28" fillId="0" borderId="155" xfId="0" applyNumberFormat="1" applyFont="1" applyBorder="1" applyAlignment="1">
      <alignment horizontal="right" vertical="top" wrapText="1"/>
    </xf>
    <xf numFmtId="0" fontId="86" fillId="0" borderId="90" xfId="0" applyFont="1" applyBorder="1" applyAlignment="1">
      <alignment horizontal="center"/>
    </xf>
    <xf numFmtId="169" fontId="90" fillId="38" borderId="154" xfId="0" applyNumberFormat="1" applyFont="1" applyFill="1" applyBorder="1"/>
    <xf numFmtId="0" fontId="99" fillId="0" borderId="0" xfId="0" applyFont="1"/>
    <xf numFmtId="0" fontId="115" fillId="0" borderId="0" xfId="0" applyFont="1"/>
    <xf numFmtId="169" fontId="5" fillId="41" borderId="82" xfId="63" applyNumberFormat="1" applyFont="1" applyFill="1" applyBorder="1"/>
    <xf numFmtId="3" fontId="0" fillId="0" borderId="162" xfId="0" applyNumberFormat="1" applyBorder="1"/>
    <xf numFmtId="3" fontId="94" fillId="0" borderId="53" xfId="0" applyNumberFormat="1" applyFont="1" applyBorder="1"/>
    <xf numFmtId="0" fontId="4" fillId="0" borderId="161" xfId="0" applyFont="1" applyBorder="1" applyAlignment="1">
      <alignment wrapText="1"/>
    </xf>
    <xf numFmtId="3" fontId="5" fillId="0" borderId="162" xfId="0" applyNumberFormat="1" applyFont="1" applyBorder="1"/>
    <xf numFmtId="0" fontId="0" fillId="0" borderId="163" xfId="0" applyBorder="1"/>
    <xf numFmtId="0" fontId="14" fillId="0" borderId="164" xfId="0" applyFont="1" applyBorder="1" applyAlignment="1">
      <alignment wrapText="1"/>
    </xf>
    <xf numFmtId="3" fontId="27" fillId="0" borderId="165" xfId="0" applyNumberFormat="1" applyFont="1" applyBorder="1"/>
    <xf numFmtId="3" fontId="16" fillId="0" borderId="165" xfId="0" applyNumberFormat="1" applyFont="1" applyBorder="1"/>
    <xf numFmtId="0" fontId="27" fillId="0" borderId="166" xfId="0" applyFont="1" applyBorder="1"/>
    <xf numFmtId="169" fontId="27" fillId="0" borderId="26" xfId="63" applyNumberFormat="1" applyFont="1" applyBorder="1"/>
    <xf numFmtId="169" fontId="27" fillId="0" borderId="122" xfId="63" applyNumberFormat="1" applyFont="1" applyBorder="1"/>
    <xf numFmtId="0" fontId="27" fillId="0" borderId="0" xfId="0" applyFont="1"/>
    <xf numFmtId="0" fontId="27" fillId="0" borderId="26" xfId="0" applyFont="1" applyBorder="1"/>
    <xf numFmtId="3" fontId="27" fillId="0" borderId="162" xfId="0" applyNumberFormat="1" applyFont="1" applyBorder="1"/>
    <xf numFmtId="0" fontId="24" fillId="0" borderId="167" xfId="0" applyFont="1" applyBorder="1"/>
    <xf numFmtId="169" fontId="0" fillId="0" borderId="168" xfId="63" applyNumberFormat="1" applyFont="1" applyBorder="1"/>
    <xf numFmtId="169" fontId="5" fillId="0" borderId="169" xfId="63" applyNumberFormat="1" applyFont="1" applyBorder="1"/>
    <xf numFmtId="3" fontId="16" fillId="0" borderId="170" xfId="0" applyNumberFormat="1" applyFont="1" applyBorder="1"/>
    <xf numFmtId="0" fontId="27" fillId="0" borderId="45" xfId="0" applyFont="1" applyBorder="1"/>
    <xf numFmtId="0" fontId="27" fillId="0" borderId="171" xfId="0" applyFont="1" applyBorder="1" applyAlignment="1">
      <alignment horizontal="justify"/>
    </xf>
    <xf numFmtId="169" fontId="28" fillId="0" borderId="163" xfId="63" applyNumberFormat="1" applyFont="1" applyBorder="1"/>
    <xf numFmtId="169" fontId="28" fillId="0" borderId="47" xfId="63" applyNumberFormat="1" applyFont="1" applyBorder="1"/>
    <xf numFmtId="169" fontId="27" fillId="28" borderId="157" xfId="63" applyNumberFormat="1" applyFont="1" applyFill="1" applyBorder="1"/>
    <xf numFmtId="169" fontId="28" fillId="20" borderId="157" xfId="63" applyNumberFormat="1" applyFont="1" applyFill="1" applyBorder="1"/>
    <xf numFmtId="169" fontId="28" fillId="21" borderId="157" xfId="63" applyNumberFormat="1" applyFont="1" applyFill="1" applyBorder="1"/>
    <xf numFmtId="169" fontId="28" fillId="19" borderId="157" xfId="63" applyNumberFormat="1" applyFont="1" applyFill="1" applyBorder="1"/>
    <xf numFmtId="169" fontId="27" fillId="22" borderId="157" xfId="63" applyNumberFormat="1" applyFont="1" applyFill="1" applyBorder="1"/>
    <xf numFmtId="169" fontId="28" fillId="0" borderId="172" xfId="63" applyNumberFormat="1" applyFont="1" applyFill="1" applyBorder="1"/>
    <xf numFmtId="3" fontId="44" fillId="0" borderId="35" xfId="52" quotePrefix="1" applyNumberFormat="1" applyFont="1" applyBorder="1"/>
    <xf numFmtId="0" fontId="28" fillId="0" borderId="173" xfId="0" applyFont="1" applyBorder="1" applyAlignment="1">
      <alignment horizontal="justify"/>
    </xf>
    <xf numFmtId="169" fontId="0" fillId="0" borderId="0" xfId="0" applyNumberFormat="1" applyAlignment="1">
      <alignment horizontal="center"/>
    </xf>
    <xf numFmtId="3" fontId="31" fillId="0" borderId="0" xfId="0" applyNumberFormat="1" applyFont="1"/>
    <xf numFmtId="3" fontId="86" fillId="42" borderId="45" xfId="0" applyNumberFormat="1" applyFont="1" applyFill="1" applyBorder="1"/>
    <xf numFmtId="3" fontId="86" fillId="42" borderId="21" xfId="0" applyNumberFormat="1" applyFont="1" applyFill="1" applyBorder="1"/>
    <xf numFmtId="3" fontId="96" fillId="42" borderId="45" xfId="0" applyNumberFormat="1" applyFont="1" applyFill="1" applyBorder="1"/>
    <xf numFmtId="3" fontId="0" fillId="29" borderId="45" xfId="0" applyNumberFormat="1" applyFill="1" applyBorder="1"/>
    <xf numFmtId="0" fontId="24" fillId="0" borderId="174" xfId="0" applyFont="1" applyBorder="1"/>
    <xf numFmtId="169" fontId="0" fillId="0" borderId="175" xfId="63" applyNumberFormat="1" applyFont="1" applyBorder="1"/>
    <xf numFmtId="169" fontId="5" fillId="0" borderId="176" xfId="63" applyNumberFormat="1" applyFont="1" applyBorder="1"/>
    <xf numFmtId="3" fontId="16" fillId="0" borderId="177" xfId="0" applyNumberFormat="1" applyFont="1" applyBorder="1"/>
    <xf numFmtId="0" fontId="24" fillId="0" borderId="178" xfId="0" applyFont="1" applyBorder="1"/>
    <xf numFmtId="169" fontId="0" fillId="0" borderId="179" xfId="63" applyNumberFormat="1" applyFont="1" applyBorder="1"/>
    <xf numFmtId="169" fontId="5" fillId="0" borderId="180" xfId="63" applyNumberFormat="1" applyFont="1" applyBorder="1"/>
    <xf numFmtId="3" fontId="16" fillId="0" borderId="181" xfId="0" applyNumberFormat="1" applyFont="1" applyBorder="1"/>
    <xf numFmtId="3" fontId="5" fillId="0" borderId="47" xfId="0" applyNumberFormat="1" applyFont="1" applyBorder="1"/>
    <xf numFmtId="3" fontId="5" fillId="0" borderId="182" xfId="0" applyNumberFormat="1" applyFont="1" applyBorder="1"/>
    <xf numFmtId="3" fontId="16" fillId="0" borderId="182" xfId="0" applyNumberFormat="1" applyFont="1" applyBorder="1"/>
    <xf numFmtId="0" fontId="0" fillId="0" borderId="182" xfId="0" applyBorder="1"/>
    <xf numFmtId="0" fontId="0" fillId="0" borderId="179" xfId="0" applyBorder="1"/>
    <xf numFmtId="3" fontId="5" fillId="0" borderId="179" xfId="0" applyNumberFormat="1" applyFont="1" applyBorder="1"/>
    <xf numFmtId="169" fontId="7" fillId="0" borderId="135" xfId="63" applyNumberFormat="1" applyFont="1" applyBorder="1"/>
    <xf numFmtId="3" fontId="0" fillId="0" borderId="100" xfId="0" applyNumberFormat="1" applyBorder="1"/>
    <xf numFmtId="3" fontId="0" fillId="0" borderId="184" xfId="0" applyNumberFormat="1" applyBorder="1"/>
    <xf numFmtId="3" fontId="16" fillId="0" borderId="184" xfId="0" applyNumberFormat="1" applyFont="1" applyBorder="1"/>
    <xf numFmtId="3" fontId="16" fillId="0" borderId="180" xfId="0" applyNumberFormat="1" applyFont="1" applyBorder="1"/>
    <xf numFmtId="3" fontId="16" fillId="0" borderId="183" xfId="0" applyNumberFormat="1" applyFont="1" applyBorder="1"/>
    <xf numFmtId="3" fontId="27" fillId="34" borderId="106" xfId="0" applyNumberFormat="1" applyFont="1" applyFill="1" applyBorder="1" applyAlignment="1">
      <alignment horizontal="right" vertical="top" wrapText="1"/>
    </xf>
    <xf numFmtId="169" fontId="28" fillId="34" borderId="82" xfId="63" applyNumberFormat="1" applyFont="1" applyFill="1" applyBorder="1"/>
    <xf numFmtId="169" fontId="0" fillId="34" borderId="82" xfId="63" applyNumberFormat="1" applyFont="1" applyFill="1" applyBorder="1"/>
    <xf numFmtId="0" fontId="0" fillId="0" borderId="185" xfId="0" applyBorder="1"/>
    <xf numFmtId="0" fontId="0" fillId="0" borderId="186" xfId="0" applyBorder="1"/>
    <xf numFmtId="3" fontId="0" fillId="0" borderId="186" xfId="0" applyNumberFormat="1" applyBorder="1"/>
    <xf numFmtId="3" fontId="0" fillId="0" borderId="187" xfId="0" applyNumberFormat="1" applyBorder="1"/>
    <xf numFmtId="3" fontId="0" fillId="0" borderId="185" xfId="0" applyNumberFormat="1" applyBorder="1"/>
    <xf numFmtId="3" fontId="94" fillId="0" borderId="186" xfId="0" applyNumberFormat="1" applyFont="1" applyBorder="1"/>
    <xf numFmtId="3" fontId="94" fillId="0" borderId="187" xfId="0" applyNumberFormat="1" applyFont="1" applyBorder="1"/>
    <xf numFmtId="0" fontId="88" fillId="0" borderId="29" xfId="0" applyFont="1" applyBorder="1"/>
    <xf numFmtId="0" fontId="88" fillId="0" borderId="30" xfId="0" applyFont="1" applyBorder="1"/>
    <xf numFmtId="0" fontId="88" fillId="0" borderId="188" xfId="0" applyFont="1" applyBorder="1"/>
    <xf numFmtId="3" fontId="88" fillId="0" borderId="31" xfId="0" applyNumberFormat="1" applyFont="1" applyBorder="1"/>
    <xf numFmtId="3" fontId="88" fillId="0" borderId="21" xfId="0" applyNumberFormat="1" applyFont="1" applyBorder="1"/>
    <xf numFmtId="3" fontId="88" fillId="29" borderId="21" xfId="0" applyNumberFormat="1" applyFont="1" applyFill="1" applyBorder="1"/>
    <xf numFmtId="3" fontId="88" fillId="0" borderId="29" xfId="0" applyNumberFormat="1" applyFont="1" applyBorder="1"/>
    <xf numFmtId="3" fontId="88" fillId="42" borderId="21" xfId="0" applyNumberFormat="1" applyFont="1" applyFill="1" applyBorder="1"/>
    <xf numFmtId="3" fontId="0" fillId="29" borderId="42" xfId="0" applyNumberFormat="1" applyFill="1" applyBorder="1"/>
    <xf numFmtId="3" fontId="0" fillId="29" borderId="189" xfId="0" applyNumberFormat="1" applyFill="1" applyBorder="1"/>
    <xf numFmtId="3" fontId="118" fillId="0" borderId="0" xfId="0" applyNumberFormat="1" applyFont="1"/>
    <xf numFmtId="0" fontId="118" fillId="0" borderId="0" xfId="0" applyFont="1"/>
    <xf numFmtId="0" fontId="0" fillId="29" borderId="0" xfId="0" applyFill="1"/>
    <xf numFmtId="0" fontId="27" fillId="0" borderId="7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169" fontId="81" fillId="0" borderId="35" xfId="63" applyNumberFormat="1" applyFont="1" applyBorder="1"/>
    <xf numFmtId="169" fontId="81" fillId="0" borderId="33" xfId="63" applyNumberFormat="1" applyFont="1" applyBorder="1"/>
    <xf numFmtId="169" fontId="82" fillId="0" borderId="35" xfId="63" applyNumberFormat="1" applyFont="1" applyBorder="1"/>
    <xf numFmtId="169" fontId="81" fillId="0" borderId="33" xfId="63" applyNumberFormat="1" applyFont="1" applyBorder="1" applyAlignment="1">
      <alignment horizontal="center"/>
    </xf>
    <xf numFmtId="0" fontId="7" fillId="0" borderId="130" xfId="0" applyFont="1" applyBorder="1" applyAlignment="1">
      <alignment wrapText="1"/>
    </xf>
    <xf numFmtId="0" fontId="86" fillId="0" borderId="196" xfId="0" applyFont="1" applyBorder="1" applyAlignment="1">
      <alignment horizontal="center"/>
    </xf>
    <xf numFmtId="0" fontId="86" fillId="36" borderId="190" xfId="0" applyFont="1" applyFill="1" applyBorder="1" applyAlignment="1">
      <alignment horizontal="center"/>
    </xf>
    <xf numFmtId="0" fontId="86" fillId="0" borderId="190" xfId="0" applyFont="1" applyBorder="1" applyAlignment="1">
      <alignment horizontal="center"/>
    </xf>
    <xf numFmtId="0" fontId="86" fillId="39" borderId="190" xfId="0" applyFont="1" applyFill="1" applyBorder="1" applyAlignment="1">
      <alignment horizontal="center"/>
    </xf>
    <xf numFmtId="0" fontId="86" fillId="38" borderId="190" xfId="0" applyFont="1" applyFill="1" applyBorder="1" applyAlignment="1">
      <alignment horizontal="center"/>
    </xf>
    <xf numFmtId="169" fontId="1" fillId="0" borderId="190" xfId="63" applyNumberFormat="1" applyFont="1" applyBorder="1"/>
    <xf numFmtId="169" fontId="0" fillId="36" borderId="190" xfId="0" applyNumberFormat="1" applyFill="1" applyBorder="1"/>
    <xf numFmtId="169" fontId="0" fillId="38" borderId="190" xfId="0" applyNumberFormat="1" applyFill="1" applyBorder="1"/>
    <xf numFmtId="169" fontId="0" fillId="39" borderId="190" xfId="0" applyNumberFormat="1" applyFill="1" applyBorder="1"/>
    <xf numFmtId="0" fontId="0" fillId="0" borderId="190" xfId="0" applyBorder="1" applyAlignment="1">
      <alignment horizontal="center"/>
    </xf>
    <xf numFmtId="169" fontId="0" fillId="0" borderId="190" xfId="0" applyNumberFormat="1" applyBorder="1" applyAlignment="1">
      <alignment horizontal="center"/>
    </xf>
    <xf numFmtId="169" fontId="0" fillId="0" borderId="190" xfId="0" applyNumberFormat="1" applyBorder="1"/>
    <xf numFmtId="0" fontId="94" fillId="0" borderId="190" xfId="0" applyFont="1" applyBorder="1" applyAlignment="1">
      <alignment horizontal="center"/>
    </xf>
    <xf numFmtId="169" fontId="0" fillId="37" borderId="190" xfId="0" applyNumberFormat="1" applyFill="1" applyBorder="1"/>
    <xf numFmtId="169" fontId="1" fillId="37" borderId="190" xfId="63" applyNumberFormat="1" applyFont="1" applyFill="1" applyBorder="1"/>
    <xf numFmtId="0" fontId="0" fillId="0" borderId="190" xfId="0" applyBorder="1" applyAlignment="1">
      <alignment horizontal="center" wrapText="1"/>
    </xf>
    <xf numFmtId="0" fontId="117" fillId="0" borderId="190" xfId="0" applyFont="1" applyBorder="1" applyAlignment="1">
      <alignment horizontal="center"/>
    </xf>
    <xf numFmtId="165" fontId="1" fillId="0" borderId="0" xfId="63" applyFont="1"/>
    <xf numFmtId="169" fontId="1" fillId="0" borderId="0" xfId="63" applyNumberFormat="1" applyFont="1"/>
    <xf numFmtId="169" fontId="86" fillId="0" borderId="190" xfId="63" applyNumberFormat="1" applyFont="1" applyBorder="1"/>
    <xf numFmtId="0" fontId="0" fillId="0" borderId="190" xfId="0" applyBorder="1"/>
    <xf numFmtId="3" fontId="0" fillId="0" borderId="198" xfId="0" applyNumberFormat="1" applyBorder="1"/>
    <xf numFmtId="3" fontId="0" fillId="0" borderId="190" xfId="0" applyNumberFormat="1" applyBorder="1"/>
    <xf numFmtId="3" fontId="0" fillId="29" borderId="190" xfId="0" applyNumberFormat="1" applyFill="1" applyBorder="1" applyAlignment="1">
      <alignment wrapText="1"/>
    </xf>
    <xf numFmtId="3" fontId="0" fillId="29" borderId="193" xfId="0" applyNumberFormat="1" applyFill="1" applyBorder="1" applyAlignment="1">
      <alignment wrapText="1"/>
    </xf>
    <xf numFmtId="3" fontId="0" fillId="29" borderId="190" xfId="0" applyNumberFormat="1" applyFill="1" applyBorder="1"/>
    <xf numFmtId="3" fontId="0" fillId="0" borderId="193" xfId="0" applyNumberFormat="1" applyBorder="1"/>
    <xf numFmtId="3" fontId="0" fillId="29" borderId="193" xfId="0" applyNumberFormat="1" applyFill="1" applyBorder="1"/>
    <xf numFmtId="3" fontId="0" fillId="0" borderId="191" xfId="0" applyNumberFormat="1" applyBorder="1"/>
    <xf numFmtId="0" fontId="0" fillId="0" borderId="199" xfId="0" applyBorder="1"/>
    <xf numFmtId="0" fontId="0" fillId="0" borderId="197" xfId="0" applyBorder="1"/>
    <xf numFmtId="0" fontId="0" fillId="0" borderId="200" xfId="0" applyBorder="1"/>
    <xf numFmtId="3" fontId="94" fillId="0" borderId="196" xfId="0" applyNumberFormat="1" applyFont="1" applyBorder="1"/>
    <xf numFmtId="3" fontId="0" fillId="0" borderId="197" xfId="0" applyNumberFormat="1" applyBorder="1"/>
    <xf numFmtId="3" fontId="0" fillId="29" borderId="197" xfId="0" applyNumberFormat="1" applyFill="1" applyBorder="1"/>
    <xf numFmtId="3" fontId="0" fillId="0" borderId="200" xfId="0" applyNumberFormat="1" applyBorder="1"/>
    <xf numFmtId="3" fontId="0" fillId="0" borderId="201" xfId="0" applyNumberFormat="1" applyBorder="1"/>
    <xf numFmtId="3" fontId="0" fillId="29" borderId="194" xfId="0" applyNumberFormat="1" applyFill="1" applyBorder="1"/>
    <xf numFmtId="3" fontId="0" fillId="0" borderId="196" xfId="0" applyNumberFormat="1" applyBorder="1"/>
    <xf numFmtId="3" fontId="0" fillId="0" borderId="194" xfId="0" applyNumberFormat="1" applyBorder="1"/>
    <xf numFmtId="3" fontId="0" fillId="0" borderId="199" xfId="0" applyNumberFormat="1" applyBorder="1"/>
    <xf numFmtId="3" fontId="0" fillId="0" borderId="202" xfId="0" applyNumberFormat="1" applyBorder="1"/>
    <xf numFmtId="3" fontId="94" fillId="0" borderId="194" xfId="0" applyNumberFormat="1" applyFont="1" applyBorder="1"/>
    <xf numFmtId="3" fontId="99" fillId="29" borderId="193" xfId="0" applyNumberFormat="1" applyFont="1" applyFill="1" applyBorder="1"/>
    <xf numFmtId="3" fontId="94" fillId="0" borderId="198" xfId="0" applyNumberFormat="1" applyFont="1" applyBorder="1"/>
    <xf numFmtId="3" fontId="0" fillId="29" borderId="196" xfId="0" applyNumberFormat="1" applyFill="1" applyBorder="1"/>
    <xf numFmtId="3" fontId="0" fillId="29" borderId="205" xfId="0" applyNumberFormat="1" applyFill="1" applyBorder="1"/>
    <xf numFmtId="3" fontId="94" fillId="0" borderId="90" xfId="0" applyNumberFormat="1" applyFont="1" applyBorder="1"/>
    <xf numFmtId="0" fontId="16" fillId="0" borderId="62" xfId="0" applyFont="1" applyBorder="1"/>
    <xf numFmtId="3" fontId="16" fillId="0" borderId="67" xfId="0" applyNumberFormat="1" applyFont="1" applyBorder="1"/>
    <xf numFmtId="3" fontId="27" fillId="0" borderId="67" xfId="0" applyNumberFormat="1" applyFont="1" applyBorder="1"/>
    <xf numFmtId="169" fontId="27" fillId="0" borderId="67" xfId="0" applyNumberFormat="1" applyFont="1" applyBorder="1"/>
    <xf numFmtId="169" fontId="27" fillId="0" borderId="64" xfId="0" applyNumberFormat="1" applyFont="1" applyBorder="1"/>
    <xf numFmtId="0" fontId="24" fillId="0" borderId="206" xfId="0" applyFont="1" applyBorder="1"/>
    <xf numFmtId="169" fontId="0" fillId="0" borderId="207" xfId="63" applyNumberFormat="1" applyFont="1" applyBorder="1"/>
    <xf numFmtId="169" fontId="5" fillId="0" borderId="208" xfId="63" applyNumberFormat="1" applyFont="1" applyBorder="1"/>
    <xf numFmtId="3" fontId="5" fillId="0" borderId="207" xfId="0" applyNumberFormat="1" applyFont="1" applyBorder="1"/>
    <xf numFmtId="3" fontId="16" fillId="0" borderId="208" xfId="0" applyNumberFormat="1" applyFont="1" applyBorder="1"/>
    <xf numFmtId="3" fontId="16" fillId="0" borderId="209" xfId="0" applyNumberFormat="1" applyFont="1" applyBorder="1"/>
    <xf numFmtId="0" fontId="0" fillId="0" borderId="65" xfId="0" applyBorder="1"/>
    <xf numFmtId="164" fontId="28" fillId="0" borderId="203" xfId="0" applyNumberFormat="1" applyFont="1" applyBorder="1"/>
    <xf numFmtId="164" fontId="40" fillId="0" borderId="203" xfId="0" applyNumberFormat="1" applyFont="1" applyBorder="1"/>
    <xf numFmtId="164" fontId="0" fillId="0" borderId="203" xfId="0" applyNumberFormat="1" applyBorder="1"/>
    <xf numFmtId="164" fontId="27" fillId="18" borderId="203" xfId="0" applyNumberFormat="1" applyFont="1" applyFill="1" applyBorder="1"/>
    <xf numFmtId="164" fontId="0" fillId="20" borderId="203" xfId="0" applyNumberFormat="1" applyFill="1" applyBorder="1"/>
    <xf numFmtId="164" fontId="0" fillId="21" borderId="203" xfId="0" applyNumberFormat="1" applyFill="1" applyBorder="1"/>
    <xf numFmtId="164" fontId="0" fillId="19" borderId="203" xfId="0" applyNumberFormat="1" applyFill="1" applyBorder="1"/>
    <xf numFmtId="164" fontId="16" fillId="22" borderId="203" xfId="0" applyNumberFormat="1" applyFont="1" applyFill="1" applyBorder="1"/>
    <xf numFmtId="3" fontId="24" fillId="0" borderId="203" xfId="0" applyNumberFormat="1" applyFont="1" applyBorder="1"/>
    <xf numFmtId="3" fontId="28" fillId="0" borderId="203" xfId="0" applyNumberFormat="1" applyFont="1" applyBorder="1"/>
    <xf numFmtId="164" fontId="0" fillId="18" borderId="203" xfId="0" applyNumberFormat="1" applyFill="1" applyBorder="1"/>
    <xf numFmtId="164" fontId="14" fillId="0" borderId="57" xfId="0" applyNumberFormat="1" applyFont="1" applyBorder="1"/>
    <xf numFmtId="164" fontId="0" fillId="0" borderId="182" xfId="0" applyNumberFormat="1" applyBorder="1"/>
    <xf numFmtId="164" fontId="27" fillId="18" borderId="182" xfId="0" applyNumberFormat="1" applyFont="1" applyFill="1" applyBorder="1"/>
    <xf numFmtId="164" fontId="0" fillId="24" borderId="182" xfId="0" applyNumberFormat="1" applyFill="1" applyBorder="1"/>
    <xf numFmtId="164" fontId="16" fillId="22" borderId="182" xfId="0" applyNumberFormat="1" applyFont="1" applyFill="1" applyBorder="1"/>
    <xf numFmtId="164" fontId="0" fillId="18" borderId="182" xfId="0" applyNumberFormat="1" applyFill="1" applyBorder="1"/>
    <xf numFmtId="0" fontId="7" fillId="21" borderId="182" xfId="0" applyFont="1" applyFill="1" applyBorder="1" applyAlignment="1">
      <alignment wrapText="1"/>
    </xf>
    <xf numFmtId="0" fontId="4" fillId="19" borderId="182" xfId="0" applyFont="1" applyFill="1" applyBorder="1" applyAlignment="1">
      <alignment wrapText="1"/>
    </xf>
    <xf numFmtId="164" fontId="14" fillId="0" borderId="135" xfId="0" applyNumberFormat="1" applyFont="1" applyBorder="1"/>
    <xf numFmtId="0" fontId="0" fillId="0" borderId="74" xfId="0" applyBorder="1"/>
    <xf numFmtId="0" fontId="83" fillId="0" borderId="26" xfId="0" applyFont="1" applyBorder="1" applyAlignment="1">
      <alignment horizontal="justify"/>
    </xf>
    <xf numFmtId="0" fontId="40" fillId="0" borderId="11" xfId="0" applyFont="1" applyBorder="1"/>
    <xf numFmtId="0" fontId="0" fillId="0" borderId="40" xfId="0" applyBorder="1"/>
    <xf numFmtId="0" fontId="16" fillId="0" borderId="45" xfId="0" applyFont="1" applyBorder="1" applyAlignment="1">
      <alignment horizontal="center" wrapText="1"/>
    </xf>
    <xf numFmtId="0" fontId="16" fillId="0" borderId="65" xfId="0" applyFont="1" applyBorder="1" applyAlignment="1">
      <alignment horizontal="center" wrapText="1"/>
    </xf>
    <xf numFmtId="0" fontId="27" fillId="0" borderId="63" xfId="0" applyFont="1" applyBorder="1"/>
    <xf numFmtId="0" fontId="28" fillId="0" borderId="210" xfId="0" applyFont="1" applyBorder="1" applyAlignment="1">
      <alignment horizontal="justify"/>
    </xf>
    <xf numFmtId="166" fontId="102" fillId="0" borderId="210" xfId="48" applyNumberFormat="1" applyFont="1" applyBorder="1" applyAlignment="1">
      <alignment horizontal="left" vertical="center" wrapText="1"/>
    </xf>
    <xf numFmtId="0" fontId="28" fillId="0" borderId="210" xfId="0" applyFont="1" applyBorder="1"/>
    <xf numFmtId="0" fontId="27" fillId="18" borderId="210" xfId="0" applyFont="1" applyFill="1" applyBorder="1" applyAlignment="1">
      <alignment wrapText="1"/>
    </xf>
    <xf numFmtId="0" fontId="27" fillId="20" borderId="210" xfId="0" applyFont="1" applyFill="1" applyBorder="1" applyAlignment="1">
      <alignment wrapText="1"/>
    </xf>
    <xf numFmtId="0" fontId="27" fillId="21" borderId="210" xfId="0" applyFont="1" applyFill="1" applyBorder="1" applyAlignment="1">
      <alignment wrapText="1"/>
    </xf>
    <xf numFmtId="0" fontId="28" fillId="19" borderId="210" xfId="0" applyFont="1" applyFill="1" applyBorder="1" applyAlignment="1">
      <alignment wrapText="1"/>
    </xf>
    <xf numFmtId="0" fontId="27" fillId="0" borderId="210" xfId="0" applyFont="1" applyBorder="1" applyAlignment="1">
      <alignment horizontal="justify"/>
    </xf>
    <xf numFmtId="0" fontId="27" fillId="22" borderId="210" xfId="0" applyFont="1" applyFill="1" applyBorder="1" applyAlignment="1">
      <alignment wrapText="1"/>
    </xf>
    <xf numFmtId="0" fontId="28" fillId="0" borderId="210" xfId="0" applyFont="1" applyBorder="1" applyAlignment="1">
      <alignment wrapText="1"/>
    </xf>
    <xf numFmtId="0" fontId="27" fillId="22" borderId="210" xfId="0" applyFont="1" applyFill="1" applyBorder="1"/>
    <xf numFmtId="0" fontId="95" fillId="0" borderId="211" xfId="0" applyFont="1" applyBorder="1"/>
    <xf numFmtId="164" fontId="28" fillId="0" borderId="212" xfId="0" applyNumberFormat="1" applyFont="1" applyBorder="1"/>
    <xf numFmtId="164" fontId="0" fillId="0" borderId="212" xfId="0" applyNumberFormat="1" applyBorder="1"/>
    <xf numFmtId="164" fontId="27" fillId="26" borderId="212" xfId="0" applyNumberFormat="1" applyFont="1" applyFill="1" applyBorder="1"/>
    <xf numFmtId="164" fontId="0" fillId="20" borderId="212" xfId="0" applyNumberFormat="1" applyFill="1" applyBorder="1"/>
    <xf numFmtId="164" fontId="0" fillId="21" borderId="212" xfId="0" applyNumberFormat="1" applyFill="1" applyBorder="1"/>
    <xf numFmtId="164" fontId="0" fillId="19" borderId="212" xfId="0" applyNumberFormat="1" applyFill="1" applyBorder="1"/>
    <xf numFmtId="164" fontId="16" fillId="22" borderId="212" xfId="0" applyNumberFormat="1" applyFont="1" applyFill="1" applyBorder="1"/>
    <xf numFmtId="164" fontId="16" fillId="18" borderId="212" xfId="0" applyNumberFormat="1" applyFont="1" applyFill="1" applyBorder="1"/>
    <xf numFmtId="164" fontId="0" fillId="24" borderId="212" xfId="0" applyNumberFormat="1" applyFill="1" applyBorder="1"/>
    <xf numFmtId="164" fontId="0" fillId="27" borderId="212" xfId="0" applyNumberFormat="1" applyFill="1" applyBorder="1"/>
    <xf numFmtId="164" fontId="0" fillId="25" borderId="212" xfId="0" applyNumberFormat="1" applyFill="1" applyBorder="1"/>
    <xf numFmtId="164" fontId="80" fillId="0" borderId="135" xfId="0" applyNumberFormat="1" applyFont="1" applyBorder="1"/>
    <xf numFmtId="164" fontId="5" fillId="0" borderId="212" xfId="0" applyNumberFormat="1" applyFont="1" applyBorder="1"/>
    <xf numFmtId="164" fontId="5" fillId="20" borderId="212" xfId="0" applyNumberFormat="1" applyFont="1" applyFill="1" applyBorder="1"/>
    <xf numFmtId="164" fontId="0" fillId="0" borderId="42" xfId="0" applyNumberFormat="1" applyBorder="1"/>
    <xf numFmtId="0" fontId="15" fillId="0" borderId="46" xfId="0" applyFont="1" applyBorder="1" applyAlignment="1">
      <alignment horizontal="center"/>
    </xf>
    <xf numFmtId="3" fontId="44" fillId="34" borderId="42" xfId="52" applyNumberFormat="1" applyFont="1" applyFill="1" applyBorder="1"/>
    <xf numFmtId="164" fontId="0" fillId="34" borderId="123" xfId="0" applyNumberFormat="1" applyFill="1" applyBorder="1"/>
    <xf numFmtId="169" fontId="28" fillId="0" borderId="213" xfId="63" applyNumberFormat="1" applyFont="1" applyBorder="1"/>
    <xf numFmtId="169" fontId="28" fillId="19" borderId="213" xfId="63" applyNumberFormat="1" applyFont="1" applyFill="1" applyBorder="1"/>
    <xf numFmtId="169" fontId="27" fillId="22" borderId="214" xfId="63" applyNumberFormat="1" applyFont="1" applyFill="1" applyBorder="1"/>
    <xf numFmtId="169" fontId="28" fillId="0" borderId="215" xfId="63" applyNumberFormat="1" applyFont="1" applyBorder="1"/>
    <xf numFmtId="169" fontId="28" fillId="19" borderId="215" xfId="63" applyNumberFormat="1" applyFont="1" applyFill="1" applyBorder="1"/>
    <xf numFmtId="169" fontId="27" fillId="22" borderId="215" xfId="63" applyNumberFormat="1" applyFont="1" applyFill="1" applyBorder="1"/>
    <xf numFmtId="0" fontId="27" fillId="22" borderId="216" xfId="0" applyFont="1" applyFill="1" applyBorder="1"/>
    <xf numFmtId="169" fontId="95" fillId="22" borderId="217" xfId="63" applyNumberFormat="1" applyFont="1" applyFill="1" applyBorder="1"/>
    <xf numFmtId="169" fontId="95" fillId="22" borderId="218" xfId="63" applyNumberFormat="1" applyFont="1" applyFill="1" applyBorder="1"/>
    <xf numFmtId="169" fontId="95" fillId="22" borderId="219" xfId="63" applyNumberFormat="1" applyFont="1" applyFill="1" applyBorder="1"/>
    <xf numFmtId="0" fontId="95" fillId="0" borderId="46" xfId="0" applyFont="1" applyBorder="1" applyAlignment="1">
      <alignment wrapText="1"/>
    </xf>
    <xf numFmtId="169" fontId="27" fillId="0" borderId="45" xfId="63" applyNumberFormat="1" applyFont="1" applyBorder="1"/>
    <xf numFmtId="169" fontId="27" fillId="0" borderId="65" xfId="63" applyNumberFormat="1" applyFont="1" applyBorder="1"/>
    <xf numFmtId="169" fontId="27" fillId="22" borderId="217" xfId="63" applyNumberFormat="1" applyFont="1" applyFill="1" applyBorder="1"/>
    <xf numFmtId="169" fontId="27" fillId="22" borderId="218" xfId="63" applyNumberFormat="1" applyFont="1" applyFill="1" applyBorder="1"/>
    <xf numFmtId="0" fontId="95" fillId="0" borderId="46" xfId="0" applyFont="1" applyBorder="1"/>
    <xf numFmtId="169" fontId="95" fillId="0" borderId="45" xfId="63" applyNumberFormat="1" applyFont="1" applyBorder="1"/>
    <xf numFmtId="169" fontId="95" fillId="0" borderId="68" xfId="63" applyNumberFormat="1" applyFont="1" applyBorder="1"/>
    <xf numFmtId="0" fontId="27" fillId="0" borderId="0" xfId="0" applyFont="1" applyAlignment="1">
      <alignment horizontal="center"/>
    </xf>
    <xf numFmtId="0" fontId="28" fillId="0" borderId="0" xfId="0" applyFont="1"/>
    <xf numFmtId="0" fontId="34" fillId="0" borderId="0" xfId="0" applyFont="1" applyAlignment="1">
      <alignment horizontal="center"/>
    </xf>
    <xf numFmtId="0" fontId="0" fillId="0" borderId="0" xfId="0"/>
    <xf numFmtId="0" fontId="15" fillId="0" borderId="0" xfId="0" applyFont="1" applyAlignment="1">
      <alignment horizontal="center" wrapText="1"/>
    </xf>
    <xf numFmtId="0" fontId="86" fillId="36" borderId="190" xfId="0" applyFont="1" applyFill="1" applyBorder="1" applyAlignment="1">
      <alignment horizontal="center"/>
    </xf>
    <xf numFmtId="0" fontId="86" fillId="38" borderId="190" xfId="0" applyFont="1" applyFill="1" applyBorder="1" applyAlignment="1">
      <alignment horizontal="center" wrapText="1"/>
    </xf>
    <xf numFmtId="0" fontId="86" fillId="0" borderId="194" xfId="0" applyFont="1" applyBorder="1" applyAlignment="1">
      <alignment horizontal="center"/>
    </xf>
    <xf numFmtId="0" fontId="86" fillId="0" borderId="196" xfId="0" applyFont="1" applyBorder="1" applyAlignment="1">
      <alignment horizontal="center"/>
    </xf>
    <xf numFmtId="0" fontId="86" fillId="0" borderId="40" xfId="0" applyFont="1" applyBorder="1" applyAlignment="1">
      <alignment horizontal="center"/>
    </xf>
    <xf numFmtId="0" fontId="86" fillId="0" borderId="90" xfId="0" applyFont="1" applyBorder="1" applyAlignment="1">
      <alignment horizontal="center"/>
    </xf>
    <xf numFmtId="0" fontId="90" fillId="0" borderId="62" xfId="0" applyFont="1" applyBorder="1" applyAlignment="1">
      <alignment horizontal="left"/>
    </xf>
    <xf numFmtId="0" fontId="90" fillId="0" borderId="67" xfId="0" applyFont="1" applyBorder="1" applyAlignment="1">
      <alignment horizontal="left"/>
    </xf>
    <xf numFmtId="0" fontId="111" fillId="0" borderId="13" xfId="0" applyFont="1" applyBorder="1" applyAlignment="1">
      <alignment horizontal="center" vertical="center"/>
    </xf>
    <xf numFmtId="0" fontId="111" fillId="0" borderId="34" xfId="0" applyFont="1" applyBorder="1" applyAlignment="1">
      <alignment horizontal="center" vertical="center"/>
    </xf>
    <xf numFmtId="0" fontId="111" fillId="0" borderId="164" xfId="0" applyFont="1" applyBorder="1" applyAlignment="1">
      <alignment horizontal="center" vertical="center"/>
    </xf>
    <xf numFmtId="0" fontId="111" fillId="0" borderId="14" xfId="0" applyFont="1" applyBorder="1" applyAlignment="1">
      <alignment horizontal="center" vertical="center"/>
    </xf>
    <xf numFmtId="0" fontId="111" fillId="0" borderId="54" xfId="0" applyFont="1" applyBorder="1" applyAlignment="1">
      <alignment horizontal="center" vertical="center"/>
    </xf>
    <xf numFmtId="0" fontId="111" fillId="0" borderId="165" xfId="0" applyFont="1" applyBorder="1" applyAlignment="1">
      <alignment horizontal="center" vertical="center"/>
    </xf>
    <xf numFmtId="0" fontId="111" fillId="0" borderId="27" xfId="0" applyFont="1" applyBorder="1" applyAlignment="1">
      <alignment horizontal="center" vertical="center"/>
    </xf>
    <xf numFmtId="0" fontId="111" fillId="0" borderId="55" xfId="0" applyFont="1" applyBorder="1" applyAlignment="1">
      <alignment horizontal="center" vertical="center"/>
    </xf>
    <xf numFmtId="0" fontId="86" fillId="0" borderId="195" xfId="0" applyFont="1" applyBorder="1" applyAlignment="1">
      <alignment horizontal="center"/>
    </xf>
    <xf numFmtId="0" fontId="86" fillId="0" borderId="11" xfId="0" applyFont="1" applyBorder="1" applyAlignment="1">
      <alignment horizontal="center"/>
    </xf>
    <xf numFmtId="0" fontId="86" fillId="33" borderId="55" xfId="0" applyFont="1" applyFill="1" applyBorder="1" applyAlignment="1">
      <alignment horizontal="center" wrapText="1"/>
    </xf>
    <xf numFmtId="0" fontId="86" fillId="39" borderId="190" xfId="0" applyFont="1" applyFill="1" applyBorder="1" applyAlignment="1">
      <alignment horizontal="center"/>
    </xf>
    <xf numFmtId="0" fontId="86" fillId="29" borderId="55" xfId="0" applyFont="1" applyFill="1" applyBorder="1" applyAlignment="1">
      <alignment horizontal="center" wrapText="1"/>
    </xf>
    <xf numFmtId="0" fontId="86" fillId="37" borderId="55" xfId="0" applyFont="1" applyFill="1" applyBorder="1" applyAlignment="1">
      <alignment horizontal="center" wrapText="1"/>
    </xf>
    <xf numFmtId="0" fontId="86" fillId="43" borderId="55" xfId="0" applyFont="1" applyFill="1" applyBorder="1" applyAlignment="1">
      <alignment horizontal="center" wrapText="1"/>
    </xf>
    <xf numFmtId="0" fontId="86" fillId="40" borderId="197" xfId="0" applyFont="1" applyFill="1" applyBorder="1" applyAlignment="1">
      <alignment horizontal="center" wrapText="1"/>
    </xf>
    <xf numFmtId="0" fontId="86" fillId="40" borderId="54" xfId="0" applyFont="1" applyFill="1" applyBorder="1" applyAlignment="1">
      <alignment horizontal="center" wrapText="1"/>
    </xf>
    <xf numFmtId="0" fontId="86" fillId="40" borderId="26" xfId="0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5" fillId="0" borderId="51" xfId="0" applyFont="1" applyBorder="1"/>
    <xf numFmtId="0" fontId="0" fillId="0" borderId="0" xfId="0" applyAlignment="1">
      <alignment wrapText="1"/>
    </xf>
    <xf numFmtId="0" fontId="12" fillId="20" borderId="0" xfId="0" applyFont="1" applyFill="1" applyAlignment="1">
      <alignment wrapText="1"/>
    </xf>
    <xf numFmtId="0" fontId="0" fillId="20" borderId="0" xfId="0" applyFill="1" applyAlignment="1">
      <alignment wrapText="1"/>
    </xf>
    <xf numFmtId="0" fontId="5" fillId="0" borderId="12" xfId="0" applyFont="1" applyBorder="1"/>
    <xf numFmtId="0" fontId="5" fillId="0" borderId="10" xfId="0" applyFont="1" applyBorder="1"/>
    <xf numFmtId="0" fontId="5" fillId="0" borderId="16" xfId="0" applyFont="1" applyBorder="1"/>
    <xf numFmtId="0" fontId="0" fillId="0" borderId="185" xfId="0" applyBorder="1" applyAlignment="1">
      <alignment wrapText="1"/>
    </xf>
    <xf numFmtId="0" fontId="0" fillId="0" borderId="190" xfId="0" applyBorder="1"/>
    <xf numFmtId="0" fontId="0" fillId="0" borderId="186" xfId="0" applyBorder="1"/>
    <xf numFmtId="0" fontId="8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6" fillId="0" borderId="125" xfId="0" applyFont="1" applyBorder="1" applyAlignment="1">
      <alignment horizontal="center"/>
    </xf>
    <xf numFmtId="0" fontId="0" fillId="0" borderId="125" xfId="0" applyBorder="1" applyAlignment="1">
      <alignment horizontal="center"/>
    </xf>
    <xf numFmtId="3" fontId="86" fillId="0" borderId="75" xfId="0" applyNumberFormat="1" applyFont="1" applyBorder="1" applyAlignment="1">
      <alignment horizontal="center"/>
    </xf>
    <xf numFmtId="3" fontId="86" fillId="0" borderId="14" xfId="0" applyNumberFormat="1" applyFont="1" applyBorder="1" applyAlignment="1">
      <alignment horizontal="center"/>
    </xf>
    <xf numFmtId="3" fontId="86" fillId="0" borderId="84" xfId="0" applyNumberFormat="1" applyFont="1" applyBorder="1" applyAlignment="1">
      <alignment horizontal="center"/>
    </xf>
    <xf numFmtId="3" fontId="86" fillId="0" borderId="85" xfId="0" applyNumberFormat="1" applyFont="1" applyBorder="1" applyAlignment="1">
      <alignment horizontal="center"/>
    </xf>
    <xf numFmtId="3" fontId="86" fillId="0" borderId="27" xfId="0" applyNumberFormat="1" applyFont="1" applyBorder="1" applyAlignment="1">
      <alignment horizontal="center"/>
    </xf>
    <xf numFmtId="3" fontId="86" fillId="0" borderId="13" xfId="0" applyNumberFormat="1" applyFont="1" applyBorder="1" applyAlignment="1">
      <alignment horizontal="center"/>
    </xf>
    <xf numFmtId="3" fontId="86" fillId="0" borderId="15" xfId="0" applyNumberFormat="1" applyFont="1" applyBorder="1" applyAlignment="1">
      <alignment horizontal="center"/>
    </xf>
    <xf numFmtId="0" fontId="0" fillId="0" borderId="5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89" xfId="0" applyBorder="1" applyAlignment="1">
      <alignment wrapText="1"/>
    </xf>
    <xf numFmtId="0" fontId="0" fillId="0" borderId="199" xfId="0" applyBorder="1" applyAlignment="1">
      <alignment wrapText="1"/>
    </xf>
    <xf numFmtId="0" fontId="0" fillId="0" borderId="197" xfId="0" applyBorder="1" applyAlignment="1">
      <alignment wrapText="1"/>
    </xf>
    <xf numFmtId="0" fontId="0" fillId="0" borderId="200" xfId="0" applyBorder="1" applyAlignment="1">
      <alignment wrapText="1"/>
    </xf>
    <xf numFmtId="0" fontId="86" fillId="0" borderId="45" xfId="0" applyFont="1" applyBorder="1"/>
    <xf numFmtId="0" fontId="86" fillId="0" borderId="87" xfId="0" applyFont="1" applyBorder="1"/>
    <xf numFmtId="0" fontId="0" fillId="0" borderId="26" xfId="0" applyBorder="1"/>
    <xf numFmtId="0" fontId="0" fillId="0" borderId="89" xfId="0" applyBorder="1"/>
    <xf numFmtId="0" fontId="86" fillId="0" borderId="21" xfId="0" applyFont="1" applyBorder="1" applyAlignment="1">
      <alignment wrapText="1"/>
    </xf>
    <xf numFmtId="0" fontId="86" fillId="0" borderId="117" xfId="0" applyFont="1" applyBorder="1" applyAlignment="1">
      <alignment wrapText="1"/>
    </xf>
    <xf numFmtId="0" fontId="94" fillId="0" borderId="192" xfId="0" applyFont="1" applyBorder="1" applyAlignment="1">
      <alignment wrapText="1"/>
    </xf>
    <xf numFmtId="0" fontId="94" fillId="0" borderId="203" xfId="0" applyFont="1" applyBorder="1"/>
    <xf numFmtId="0" fontId="94" fillId="0" borderId="204" xfId="0" applyFont="1" applyBorder="1"/>
    <xf numFmtId="0" fontId="0" fillId="0" borderId="192" xfId="0" applyBorder="1" applyAlignment="1">
      <alignment wrapText="1"/>
    </xf>
    <xf numFmtId="0" fontId="0" fillId="0" borderId="203" xfId="0" applyBorder="1"/>
    <xf numFmtId="0" fontId="0" fillId="0" borderId="204" xfId="0" applyBorder="1"/>
    <xf numFmtId="0" fontId="0" fillId="0" borderId="197" xfId="0" applyBorder="1"/>
    <xf numFmtId="0" fontId="0" fillId="0" borderId="200" xfId="0" applyBorder="1"/>
    <xf numFmtId="0" fontId="98" fillId="0" borderId="46" xfId="0" applyFont="1" applyBorder="1" applyAlignment="1">
      <alignment horizontal="center"/>
    </xf>
    <xf numFmtId="0" fontId="0" fillId="0" borderId="65" xfId="0" applyBorder="1"/>
    <xf numFmtId="0" fontId="0" fillId="0" borderId="68" xfId="0" applyBorder="1"/>
    <xf numFmtId="0" fontId="0" fillId="0" borderId="28" xfId="0" applyBorder="1"/>
    <xf numFmtId="0" fontId="0" fillId="0" borderId="57" xfId="0" applyBorder="1"/>
    <xf numFmtId="0" fontId="0" fillId="0" borderId="99" xfId="0" applyBorder="1"/>
    <xf numFmtId="0" fontId="0" fillId="0" borderId="113" xfId="0" applyBorder="1"/>
    <xf numFmtId="0" fontId="0" fillId="0" borderId="108" xfId="0" applyBorder="1"/>
    <xf numFmtId="0" fontId="0" fillId="0" borderId="111" xfId="0" applyBorder="1"/>
    <xf numFmtId="0" fontId="58" fillId="0" borderId="63" xfId="49" applyFont="1" applyBorder="1" applyAlignment="1">
      <alignment wrapText="1"/>
    </xf>
    <xf numFmtId="0" fontId="59" fillId="0" borderId="71" xfId="0" applyFont="1" applyBorder="1" applyAlignment="1">
      <alignment wrapText="1"/>
    </xf>
    <xf numFmtId="0" fontId="55" fillId="0" borderId="0" xfId="0" applyFont="1" applyAlignment="1">
      <alignment horizontal="center"/>
    </xf>
    <xf numFmtId="0" fontId="56" fillId="0" borderId="59" xfId="49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56" fillId="0" borderId="28" xfId="49" applyFont="1" applyBorder="1" applyAlignment="1">
      <alignment wrapText="1"/>
    </xf>
    <xf numFmtId="0" fontId="0" fillId="0" borderId="70" xfId="0" applyBorder="1"/>
    <xf numFmtId="0" fontId="54" fillId="0" borderId="55" xfId="49" applyFont="1" applyBorder="1" applyAlignment="1">
      <alignment wrapText="1"/>
    </xf>
    <xf numFmtId="0" fontId="8" fillId="0" borderId="0" xfId="0" applyFont="1" applyAlignment="1">
      <alignment wrapText="1"/>
    </xf>
    <xf numFmtId="0" fontId="56" fillId="0" borderId="0" xfId="49" applyFont="1" applyAlignment="1">
      <alignment horizontal="center"/>
    </xf>
    <xf numFmtId="0" fontId="27" fillId="0" borderId="24" xfId="49" applyFont="1" applyBorder="1" applyAlignment="1">
      <alignment wrapText="1"/>
    </xf>
    <xf numFmtId="0" fontId="0" fillId="0" borderId="50" xfId="0" applyBorder="1"/>
    <xf numFmtId="0" fontId="55" fillId="0" borderId="0" xfId="46" applyFont="1" applyAlignment="1">
      <alignment horizontal="center"/>
    </xf>
    <xf numFmtId="0" fontId="33" fillId="0" borderId="69" xfId="46" applyBorder="1" applyAlignment="1">
      <alignment horizontal="center"/>
    </xf>
    <xf numFmtId="0" fontId="59" fillId="0" borderId="71" xfId="46" applyFont="1" applyBorder="1" applyAlignment="1">
      <alignment wrapText="1"/>
    </xf>
    <xf numFmtId="0" fontId="33" fillId="0" borderId="50" xfId="46" applyBorder="1"/>
    <xf numFmtId="3" fontId="71" fillId="0" borderId="0" xfId="56" applyNumberFormat="1" applyFont="1" applyAlignment="1">
      <alignment horizontal="center"/>
    </xf>
    <xf numFmtId="3" fontId="72" fillId="0" borderId="46" xfId="56" applyNumberFormat="1" applyFont="1" applyBorder="1" applyAlignment="1">
      <alignment horizontal="center"/>
    </xf>
    <xf numFmtId="3" fontId="72" fillId="0" borderId="65" xfId="56" applyNumberFormat="1" applyFont="1" applyBorder="1" applyAlignment="1">
      <alignment horizontal="center"/>
    </xf>
    <xf numFmtId="3" fontId="72" fillId="0" borderId="68" xfId="56" applyNumberFormat="1" applyFont="1" applyBorder="1" applyAlignment="1">
      <alignment horizontal="center"/>
    </xf>
    <xf numFmtId="3" fontId="72" fillId="0" borderId="65" xfId="57" applyNumberFormat="1" applyFont="1" applyBorder="1" applyAlignment="1">
      <alignment wrapText="1"/>
    </xf>
    <xf numFmtId="0" fontId="76" fillId="0" borderId="0" xfId="54" applyFont="1" applyAlignment="1">
      <alignment horizont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95" fillId="0" borderId="74" xfId="0" applyFont="1" applyBorder="1" applyAlignment="1">
      <alignment horizontal="center" vertical="center"/>
    </xf>
    <xf numFmtId="0" fontId="28" fillId="0" borderId="133" xfId="0" applyFont="1" applyBorder="1" applyAlignment="1">
      <alignment horizontal="center" vertical="center"/>
    </xf>
    <xf numFmtId="0" fontId="95" fillId="0" borderId="47" xfId="0" applyFont="1" applyBorder="1" applyAlignment="1">
      <alignment horizontal="center"/>
    </xf>
    <xf numFmtId="0" fontId="28" fillId="0" borderId="135" xfId="0" applyFont="1" applyBorder="1" applyAlignment="1">
      <alignment horizontal="center"/>
    </xf>
    <xf numFmtId="0" fontId="95" fillId="0" borderId="0" xfId="0" applyFont="1" applyAlignment="1">
      <alignment horizont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3" fontId="36" fillId="0" borderId="142" xfId="0" applyNumberFormat="1" applyFont="1" applyBorder="1" applyAlignment="1">
      <alignment horizontal="center"/>
    </xf>
    <xf numFmtId="3" fontId="32" fillId="0" borderId="143" xfId="0" applyNumberFormat="1" applyFont="1" applyBorder="1" applyAlignment="1">
      <alignment horizontal="center"/>
    </xf>
    <xf numFmtId="0" fontId="42" fillId="35" borderId="0" xfId="0" applyFont="1" applyFill="1" applyAlignment="1">
      <alignment horizontal="center"/>
    </xf>
    <xf numFmtId="0" fontId="105" fillId="0" borderId="46" xfId="0" applyFont="1" applyBorder="1" applyAlignment="1">
      <alignment horizontal="center"/>
    </xf>
    <xf numFmtId="0" fontId="105" fillId="0" borderId="68" xfId="0" applyFont="1" applyBorder="1" applyAlignment="1">
      <alignment horizontal="center"/>
    </xf>
    <xf numFmtId="0" fontId="105" fillId="0" borderId="65" xfId="0" applyFont="1" applyBorder="1" applyAlignment="1">
      <alignment horizontal="center"/>
    </xf>
    <xf numFmtId="0" fontId="105" fillId="0" borderId="46" xfId="0" applyFont="1" applyBorder="1" applyAlignment="1">
      <alignment horizontal="center" wrapText="1"/>
    </xf>
    <xf numFmtId="0" fontId="43" fillId="0" borderId="68" xfId="0" applyFont="1" applyBorder="1" applyAlignment="1">
      <alignment horizontal="center" wrapText="1"/>
    </xf>
    <xf numFmtId="0" fontId="105" fillId="0" borderId="68" xfId="0" applyFont="1" applyBorder="1" applyAlignment="1">
      <alignment horizontal="center" wrapText="1"/>
    </xf>
  </cellXfs>
  <cellStyles count="64">
    <cellStyle name="1. jelölőszín" xfId="1" xr:uid="{00000000-0005-0000-0000-000000000000}"/>
    <cellStyle name="2. jelölőszín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. jelölőszín" xfId="9" xr:uid="{00000000-0005-0000-0000-000008000000}"/>
    <cellStyle name="4. jelölőszín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. jelölőszín" xfId="17" xr:uid="{00000000-0005-0000-0000-000010000000}"/>
    <cellStyle name="6. jelölőszín" xfId="18" xr:uid="{00000000-0005-0000-0000-000011000000}"/>
    <cellStyle name="60% - Accent1" xfId="19" xr:uid="{00000000-0005-0000-0000-000012000000}"/>
    <cellStyle name="60% - Accent2" xfId="20" xr:uid="{00000000-0005-0000-0000-000013000000}"/>
    <cellStyle name="60% - Accent3" xfId="21" xr:uid="{00000000-0005-0000-0000-000014000000}"/>
    <cellStyle name="60% - Accent4" xfId="22" xr:uid="{00000000-0005-0000-0000-000015000000}"/>
    <cellStyle name="60% - Accent5" xfId="23" xr:uid="{00000000-0005-0000-0000-000016000000}"/>
    <cellStyle name="60% - Accent6" xfId="24" xr:uid="{00000000-0005-0000-0000-000017000000}"/>
    <cellStyle name="Accent1" xfId="25" xr:uid="{00000000-0005-0000-0000-000018000000}"/>
    <cellStyle name="Accent2" xfId="26" xr:uid="{00000000-0005-0000-0000-000019000000}"/>
    <cellStyle name="Accent3" xfId="27" xr:uid="{00000000-0005-0000-0000-00001A000000}"/>
    <cellStyle name="Accent4" xfId="28" xr:uid="{00000000-0005-0000-0000-00001B000000}"/>
    <cellStyle name="Accent5" xfId="29" xr:uid="{00000000-0005-0000-0000-00001C000000}"/>
    <cellStyle name="Accent6" xfId="30" xr:uid="{00000000-0005-0000-0000-00001D000000}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Explanatory Text" xfId="34" xr:uid="{00000000-0005-0000-0000-000021000000}"/>
    <cellStyle name="Ezres" xfId="63" builtinId="3"/>
    <cellStyle name="Good" xfId="35" xr:uid="{00000000-0005-0000-0000-000023000000}"/>
    <cellStyle name="Heading 1" xfId="36" xr:uid="{00000000-0005-0000-0000-000024000000}"/>
    <cellStyle name="Heading 2" xfId="37" xr:uid="{00000000-0005-0000-0000-000025000000}"/>
    <cellStyle name="Heading 3" xfId="38" xr:uid="{00000000-0005-0000-0000-000026000000}"/>
    <cellStyle name="Heading 4" xfId="39" xr:uid="{00000000-0005-0000-0000-000027000000}"/>
    <cellStyle name="Input" xfId="40" xr:uid="{00000000-0005-0000-0000-000028000000}"/>
    <cellStyle name="Linked Cell" xfId="41" xr:uid="{00000000-0005-0000-0000-000029000000}"/>
    <cellStyle name="Neutral" xfId="42" xr:uid="{00000000-0005-0000-0000-00002A000000}"/>
    <cellStyle name="Normál" xfId="0" builtinId="0"/>
    <cellStyle name="Normal 2" xfId="43" xr:uid="{00000000-0005-0000-0000-00002C000000}"/>
    <cellStyle name="Normál 2" xfId="44" xr:uid="{00000000-0005-0000-0000-00002D000000}"/>
    <cellStyle name="Normál 3" xfId="45" xr:uid="{00000000-0005-0000-0000-00002E000000}"/>
    <cellStyle name="Normál_12források" xfId="46" xr:uid="{00000000-0005-0000-0000-00002F000000}"/>
    <cellStyle name="Normál_70ûrlap" xfId="47" xr:uid="{00000000-0005-0000-0000-000030000000}"/>
    <cellStyle name="Normál_97ûrlap" xfId="48" xr:uid="{00000000-0005-0000-0000-000031000000}"/>
    <cellStyle name="Normál_ESZKFOR" xfId="49" xr:uid="{00000000-0005-0000-0000-000032000000}"/>
    <cellStyle name="Normal_KARSZJ3" xfId="50" xr:uid="{00000000-0005-0000-0000-000033000000}"/>
    <cellStyle name="Normál_kiemelt eik 2013" xfId="51" xr:uid="{00000000-0005-0000-0000-000034000000}"/>
    <cellStyle name="Normál_módIV12önk" xfId="52" xr:uid="{00000000-0005-0000-0000-000035000000}"/>
    <cellStyle name="Normál_Munkafüzet2" xfId="53" xr:uid="{00000000-0005-0000-0000-000036000000}"/>
    <cellStyle name="Normál_pénzeszközök változása" xfId="54" xr:uid="{00000000-0005-0000-0000-000037000000}"/>
    <cellStyle name="Normál_SZOCIK" xfId="55" xr:uid="{00000000-0005-0000-0000-000038000000}"/>
    <cellStyle name="Normál_VAGYONRE" xfId="56" xr:uid="{00000000-0005-0000-0000-000039000000}"/>
    <cellStyle name="Normál_VAGYONZ" xfId="57" xr:uid="{00000000-0005-0000-0000-00003A000000}"/>
    <cellStyle name="Note" xfId="58" xr:uid="{00000000-0005-0000-0000-00003B000000}"/>
    <cellStyle name="Output" xfId="59" xr:uid="{00000000-0005-0000-0000-00003C000000}"/>
    <cellStyle name="Title" xfId="60" xr:uid="{00000000-0005-0000-0000-00003D000000}"/>
    <cellStyle name="Total" xfId="61" xr:uid="{00000000-0005-0000-0000-00003E000000}"/>
    <cellStyle name="Warning Text" xfId="62" xr:uid="{00000000-0005-0000-0000-00003F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kovics%20Judit\Documents\T&#225;rsul&#225;s\befizet&#233;sek\Telep&#252;l&#233;sek%20befizet&#233;sei%202010\el&#337;ir&#225;nyzat_2010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andalf\Dokumentumok\Kozgazdasagi\leidline.eniko\asztal\2025.%20&#233;vi%20k&#246;lts&#233;gvet&#233;s\befizet&#233;sek_2024%20negyedik%20negyed&#233;v.xls" TargetMode="External"/><Relationship Id="rId1" Type="http://schemas.openxmlformats.org/officeDocument/2006/relationships/externalLinkPath" Target="/Kozgazdasagi/leidline.eniko/asztal/2025.%20&#233;vi%20k&#246;lts&#233;gvet&#233;s/befizet&#233;sek_2024%20negyedik%20negyed&#233;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irányzat"/>
      <sheetName val="befizetések"/>
      <sheetName val="Bankszámla egyenleg"/>
    </sheetNames>
    <sheetDataSet>
      <sheetData sheetId="0" refreshError="1">
        <row r="3">
          <cell r="B3" t="str">
            <v>Szombathely Megyei jogú Város Önkormányzata</v>
          </cell>
        </row>
        <row r="4">
          <cell r="B4" t="str">
            <v>Acsád község Önkormányzata</v>
          </cell>
        </row>
        <row r="5">
          <cell r="B5" t="str">
            <v>Alsóújlak Község Önkormányzata</v>
          </cell>
        </row>
        <row r="6">
          <cell r="B6" t="str">
            <v>Bajánsenye Község Önkormányzata</v>
          </cell>
        </row>
        <row r="7">
          <cell r="B7" t="str">
            <v>Balogunyom Község Önkormányzata</v>
          </cell>
        </row>
        <row r="8">
          <cell r="B8" t="str">
            <v>Bejcgyertyános Község Önkormányzata</v>
          </cell>
        </row>
        <row r="9">
          <cell r="B9" t="str">
            <v>Bozsok Község Önkormányzata</v>
          </cell>
        </row>
        <row r="10">
          <cell r="B10" t="str">
            <v>Bozzai Község Önkormányzata</v>
          </cell>
        </row>
        <row r="11">
          <cell r="B11" t="str">
            <v>Bucsu Község Önkormányzata</v>
          </cell>
        </row>
        <row r="12">
          <cell r="B12" t="str">
            <v>Bük Város Önkrományzata</v>
          </cell>
        </row>
        <row r="13">
          <cell r="B13" t="str">
            <v>Cák Község Önkormányzata</v>
          </cell>
        </row>
        <row r="14">
          <cell r="B14" t="str">
            <v>Csákánydoroszló Község Önkormányzata</v>
          </cell>
        </row>
        <row r="15">
          <cell r="B15" t="str">
            <v>Csánig Község Önkormányzata</v>
          </cell>
        </row>
        <row r="16">
          <cell r="B16" t="str">
            <v>Csehimindszent Község Önkormányzata</v>
          </cell>
        </row>
        <row r="17">
          <cell r="B17" t="str">
            <v>Csempeszkopács Község Önkormányzata</v>
          </cell>
        </row>
        <row r="18">
          <cell r="B18" t="str">
            <v>Csipkerek Község Önkormányzata</v>
          </cell>
        </row>
        <row r="19">
          <cell r="B19" t="str">
            <v>Csörötnek Község Önkormányzata</v>
          </cell>
        </row>
        <row r="20">
          <cell r="B20" t="str">
            <v>Daraboshegy Község Önkormányzata</v>
          </cell>
        </row>
        <row r="21">
          <cell r="B21" t="str">
            <v xml:space="preserve">Dozmat </v>
          </cell>
        </row>
        <row r="22">
          <cell r="B22" t="str">
            <v>Döbörhegy Község Önkormányzata</v>
          </cell>
        </row>
        <row r="23">
          <cell r="B23" t="str">
            <v>Döröske Község Önkormányzata</v>
          </cell>
        </row>
        <row r="24">
          <cell r="B24" t="str">
            <v>Duka Község Önkormányzata</v>
          </cell>
          <cell r="D24">
            <v>250</v>
          </cell>
        </row>
        <row r="25">
          <cell r="B25" t="str">
            <v>Egervölgy Község Önkormányzata</v>
          </cell>
        </row>
        <row r="26">
          <cell r="B26" t="str">
            <v>Egyházashollós Község Önkormányzata</v>
          </cell>
        </row>
        <row r="27">
          <cell r="B27" t="str">
            <v>Egyházasrádóc Község Önkormányzata</v>
          </cell>
        </row>
        <row r="28">
          <cell r="B28" t="str">
            <v>Felsőcsatár Község Önkormányzata</v>
          </cell>
        </row>
        <row r="29">
          <cell r="B29" t="str">
            <v>Felsőjánosfa Község Önkormányzata</v>
          </cell>
        </row>
        <row r="30">
          <cell r="B30" t="str">
            <v>Felsőmarác Község Önkormányzata</v>
          </cell>
        </row>
        <row r="31">
          <cell r="B31" t="str">
            <v>Gasztony Község Önkormányzata</v>
          </cell>
        </row>
        <row r="32">
          <cell r="B32" t="str">
            <v>Gencsapáti Község Önkormányzata</v>
          </cell>
        </row>
        <row r="33">
          <cell r="B33" t="str">
            <v>Gersekarát Község Önkormányzata</v>
          </cell>
        </row>
        <row r="34">
          <cell r="B34" t="str">
            <v>Gyanógeregye Község Önkormányzata</v>
          </cell>
        </row>
        <row r="35">
          <cell r="B35" t="str">
            <v>Gyöngyösfalu Község Önkormányzata</v>
          </cell>
        </row>
        <row r="36">
          <cell r="B36" t="str">
            <v>Halastó Község Önkormányzata</v>
          </cell>
        </row>
        <row r="37">
          <cell r="B37" t="str">
            <v>Halogy Község Önkormányzata</v>
          </cell>
        </row>
        <row r="38">
          <cell r="B38" t="str">
            <v>Harsztifalu Község Önkormányzata</v>
          </cell>
        </row>
        <row r="39">
          <cell r="B39" t="str">
            <v>Hegyháthodász Község Önkormányzata</v>
          </cell>
        </row>
        <row r="40">
          <cell r="B40" t="str">
            <v>Hegyhátsál Község Önkormányzata</v>
          </cell>
        </row>
        <row r="41">
          <cell r="B41" t="str">
            <v>Hegyhátszentjakab Község Önkormányzata</v>
          </cell>
        </row>
        <row r="42">
          <cell r="B42" t="str">
            <v>Hegyhátszentmárton Község Önkormányzata</v>
          </cell>
        </row>
        <row r="43">
          <cell r="B43" t="str">
            <v>Horvátzsidány Község Önkormányzata</v>
          </cell>
        </row>
        <row r="44">
          <cell r="B44" t="str">
            <v>Ispánk Község Önkormányzata</v>
          </cell>
        </row>
        <row r="45">
          <cell r="B45" t="str">
            <v>Ivánc Község Önkormányzata</v>
          </cell>
        </row>
        <row r="46">
          <cell r="B46" t="str">
            <v>Ják Község Önkormányzata</v>
          </cell>
        </row>
        <row r="47">
          <cell r="B47" t="str">
            <v>Kám Község Önkormányzata</v>
          </cell>
        </row>
        <row r="48">
          <cell r="B48" t="str">
            <v>Katafa Község Önkormányzata</v>
          </cell>
        </row>
        <row r="49">
          <cell r="B49" t="str">
            <v>Kemenespálfa Község Önkormányzata</v>
          </cell>
        </row>
        <row r="50">
          <cell r="B50" t="str">
            <v>Kemenestaródfa Község Önkormányzata</v>
          </cell>
        </row>
        <row r="51">
          <cell r="B51" t="str">
            <v>Kenéz Község Önkormányzata</v>
          </cell>
        </row>
        <row r="52">
          <cell r="B52" t="str">
            <v>Kercaszomor Község Önkormányzata</v>
          </cell>
        </row>
        <row r="53">
          <cell r="B53" t="str">
            <v>Kerkáskápolna Község Önkormányzata</v>
          </cell>
        </row>
        <row r="54">
          <cell r="B54" t="str">
            <v>Kisrákos Község Önkormányzata</v>
          </cell>
        </row>
        <row r="55">
          <cell r="B55" t="str">
            <v>Kisunyom Község Önkormányzata</v>
          </cell>
        </row>
        <row r="56">
          <cell r="B56" t="str">
            <v>Kiszsidány Község Önkormányzata</v>
          </cell>
        </row>
        <row r="57">
          <cell r="B57" t="str">
            <v>Kondorfa Község Önkormányzata</v>
          </cell>
        </row>
        <row r="58">
          <cell r="B58" t="str">
            <v>Körmend Város Önkormányzata</v>
          </cell>
        </row>
        <row r="59">
          <cell r="B59" t="str">
            <v>Kőszeg Város Önkormányzata</v>
          </cell>
        </row>
        <row r="60">
          <cell r="B60" t="str">
            <v>Kőszegdoroszló Község Önkormányzata</v>
          </cell>
        </row>
        <row r="61">
          <cell r="B61" t="str">
            <v>Kőszegpaty Község Önkormányzata</v>
          </cell>
        </row>
        <row r="62">
          <cell r="B62" t="str">
            <v>Kőszegszerdahely Község Önkormányzata</v>
          </cell>
        </row>
        <row r="63">
          <cell r="B63" t="str">
            <v>Lukácsháza Község Önkormányzata</v>
          </cell>
        </row>
        <row r="64">
          <cell r="B64" t="str">
            <v>Magyarlak  Község Önkormányzata</v>
          </cell>
        </row>
        <row r="65">
          <cell r="B65" t="str">
            <v>Magyarnádalja  Község Önkormányzata</v>
          </cell>
        </row>
        <row r="66">
          <cell r="B66" t="str">
            <v>Magyarszecsőd  Község Önkormányzata</v>
          </cell>
        </row>
        <row r="67">
          <cell r="B67" t="str">
            <v>Magyarszombatfa  Község Önkormányzata</v>
          </cell>
        </row>
        <row r="68">
          <cell r="B68" t="str">
            <v>Megyehíd  Község Önkormányzata</v>
          </cell>
        </row>
        <row r="69">
          <cell r="B69" t="str">
            <v>Meszlen  Község Önkormányzata</v>
          </cell>
        </row>
        <row r="70">
          <cell r="B70" t="str">
            <v>Mikosszéplak  Község Önkormányzata</v>
          </cell>
        </row>
        <row r="71">
          <cell r="B71" t="str">
            <v>Molnaszecsőd  Község Önkormányzata</v>
          </cell>
        </row>
        <row r="72">
          <cell r="B72" t="str">
            <v>Nádasd  Község Önkormányzata</v>
          </cell>
        </row>
        <row r="73">
          <cell r="B73" t="str">
            <v>Nagymizdó  Község Önkormányzata</v>
          </cell>
        </row>
        <row r="74">
          <cell r="B74" t="str">
            <v>Nagyrákos  Község Önkormányzata</v>
          </cell>
        </row>
        <row r="75">
          <cell r="B75" t="str">
            <v>Nárai  Község Önkormányzata</v>
          </cell>
        </row>
        <row r="76">
          <cell r="B76" t="str">
            <v>Narda  Község Önkormányzata</v>
          </cell>
        </row>
        <row r="77">
          <cell r="B77" t="str">
            <v>Nemesbőd Község Önkormányzata</v>
          </cell>
        </row>
        <row r="78">
          <cell r="B78" t="str">
            <v>Nemescsó Község Önkormányzata</v>
          </cell>
        </row>
        <row r="79">
          <cell r="B79" t="str">
            <v>Nemeskocs Község Önkormányzata</v>
          </cell>
        </row>
        <row r="80">
          <cell r="B80" t="str">
            <v>Nemeskolta Község Önkormányzata</v>
          </cell>
        </row>
        <row r="81">
          <cell r="B81" t="str">
            <v>Nemesmedves Község Önkormányzata</v>
          </cell>
        </row>
        <row r="82">
          <cell r="B82" t="str">
            <v>Nemesrempeholló Község Önkormányzata</v>
          </cell>
        </row>
        <row r="83">
          <cell r="B83" t="str">
            <v>Nick Község Önkormányzata</v>
          </cell>
        </row>
        <row r="84">
          <cell r="B84" t="str">
            <v>Nyőgér Község Önkormányzata</v>
          </cell>
        </row>
        <row r="85">
          <cell r="B85" t="str">
            <v>Ólmod Község Önkormányzata</v>
          </cell>
        </row>
        <row r="86">
          <cell r="B86" t="str">
            <v>Orfalu Község Önkormányzata</v>
          </cell>
        </row>
        <row r="87">
          <cell r="B87" t="str">
            <v>Ostffyasszonyfa Község Önkormányzata</v>
          </cell>
        </row>
        <row r="88">
          <cell r="B88" t="str">
            <v>Ölbő Község Önkormányzata</v>
          </cell>
          <cell r="D88">
            <v>771</v>
          </cell>
        </row>
        <row r="89">
          <cell r="B89" t="str">
            <v>Őrimagyarosd Község Önkormányzata</v>
          </cell>
        </row>
        <row r="90">
          <cell r="B90" t="str">
            <v>Őriszentpéter Község Önkormányzata</v>
          </cell>
        </row>
        <row r="91">
          <cell r="B91" t="str">
            <v>Pankasz Község Önkormányzata</v>
          </cell>
        </row>
        <row r="92">
          <cell r="B92" t="str">
            <v>Pápoc Község Önkormányzata</v>
          </cell>
        </row>
        <row r="93">
          <cell r="B93" t="str">
            <v>Pecöl Község Önkormányzata</v>
          </cell>
        </row>
        <row r="94">
          <cell r="B94" t="str">
            <v>Perenye Község Önkormányzata</v>
          </cell>
        </row>
        <row r="95">
          <cell r="B95" t="str">
            <v>Peresznye Község Önkormányzata</v>
          </cell>
        </row>
        <row r="96">
          <cell r="B96" t="str">
            <v>Pinkamindszent Község Önkormányzata</v>
          </cell>
        </row>
        <row r="97">
          <cell r="B97" t="str">
            <v>Pusztacsó Község Önkormányzata</v>
          </cell>
        </row>
        <row r="98">
          <cell r="B98" t="str">
            <v>Püspökmolnári Község Önkormányzata</v>
          </cell>
        </row>
        <row r="99">
          <cell r="B99" t="str">
            <v>Rábahídvég Község Önkormányzata</v>
          </cell>
        </row>
        <row r="100">
          <cell r="B100" t="str">
            <v>Rábatöttös Község Önkormányzata</v>
          </cell>
        </row>
        <row r="101">
          <cell r="B101" t="str">
            <v>Rátót Község Önkormányzata</v>
          </cell>
        </row>
        <row r="102">
          <cell r="B102" t="str">
            <v>Répcelak Város Önkormányzata</v>
          </cell>
        </row>
        <row r="103">
          <cell r="B103" t="str">
            <v>Rum Község Önkormányzata</v>
          </cell>
        </row>
        <row r="104">
          <cell r="B104" t="str">
            <v>Sajtoskál Község Önkormányzata</v>
          </cell>
        </row>
        <row r="105">
          <cell r="B105" t="str">
            <v>Salköveskút Község Önkormányzata</v>
          </cell>
        </row>
        <row r="106">
          <cell r="B106" t="str">
            <v>Sé Község Önkormányzata</v>
          </cell>
        </row>
        <row r="107">
          <cell r="B107" t="str">
            <v>Sorkifalud Község Önkormányzata</v>
          </cell>
        </row>
        <row r="108">
          <cell r="B108" t="str">
            <v>Sorkikápolna Község Önkormányzata</v>
          </cell>
        </row>
        <row r="109">
          <cell r="B109" t="str">
            <v>Sorokpolány Község Önkormányzata</v>
          </cell>
        </row>
        <row r="110">
          <cell r="B110" t="str">
            <v>Söpte Község Önkormányzata</v>
          </cell>
        </row>
        <row r="111">
          <cell r="B111" t="str">
            <v>Szaknyér Község Önkormányzata</v>
          </cell>
        </row>
        <row r="112">
          <cell r="B112" t="str">
            <v>Szalafő Község Önkormányzata</v>
          </cell>
        </row>
        <row r="113">
          <cell r="B113" t="str">
            <v>Szarvaskend Község Önkormányzata</v>
          </cell>
        </row>
        <row r="114">
          <cell r="B114" t="str">
            <v>Szemenye Község Önkormányzata</v>
          </cell>
        </row>
        <row r="115">
          <cell r="B115" t="str">
            <v>Szentgotthárd Város Önkormányzata</v>
          </cell>
        </row>
        <row r="116">
          <cell r="B116" t="str">
            <v>Szőce Község Önkormányzata</v>
          </cell>
        </row>
        <row r="117">
          <cell r="B117" t="str">
            <v>Tanakajd Község Önkormányzata</v>
          </cell>
        </row>
        <row r="118">
          <cell r="B118" t="str">
            <v>Táplánszentkereszt Község Önkormányzata</v>
          </cell>
        </row>
        <row r="119">
          <cell r="B119" t="str">
            <v>Telekes Község Önkormányzata</v>
          </cell>
        </row>
        <row r="120">
          <cell r="B120" t="str">
            <v>Torony Község Önkormányzata</v>
          </cell>
        </row>
        <row r="121">
          <cell r="B121" t="str">
            <v>Vasalja Község Önkormányzata</v>
          </cell>
        </row>
        <row r="122">
          <cell r="B122" t="str">
            <v>Vasasszonyfa Község Önkormányzata</v>
          </cell>
        </row>
        <row r="123">
          <cell r="B123" t="str">
            <v>Vasegerszeg Község Önkormányzata</v>
          </cell>
        </row>
        <row r="124">
          <cell r="B124" t="str">
            <v>Vassurány Község Önkormányzata</v>
          </cell>
        </row>
        <row r="125">
          <cell r="B125" t="str">
            <v>Vasszécseny Község Önkormányzata</v>
          </cell>
        </row>
        <row r="126">
          <cell r="B126" t="str">
            <v>Vasszilvágy Község Önkormányzata</v>
          </cell>
        </row>
        <row r="127">
          <cell r="B127" t="str">
            <v>Vát Község Önkormányzata</v>
          </cell>
        </row>
        <row r="128">
          <cell r="B128" t="str">
            <v>Velem Község Önkormányzata</v>
          </cell>
        </row>
        <row r="129">
          <cell r="B129" t="str">
            <v>Velemér Község Önkormányzata</v>
          </cell>
        </row>
        <row r="130">
          <cell r="B130" t="str">
            <v>Vép Város Önkormányzata</v>
          </cell>
        </row>
        <row r="131">
          <cell r="B131" t="str">
            <v>Viszák Község Önkormányzata</v>
          </cell>
        </row>
        <row r="132">
          <cell r="B132" t="str">
            <v>Zsennye Község Önkormányzata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9. évi előirányzat"/>
      <sheetName val="2009. évi bankszámla egyenleg"/>
      <sheetName val="2010. évi előirányzat"/>
      <sheetName val="2010. évi bankszámla egyenleg"/>
      <sheetName val="2011. évi előirányzat"/>
      <sheetName val="2012. évi előirányzat"/>
      <sheetName val="2011. évi bankszámla egyenleg"/>
      <sheetName val="2012. évi bankszámla egyenleg"/>
      <sheetName val="2013. előirányzat"/>
      <sheetName val="2013. bankszámla egyenleg"/>
      <sheetName val="2014. évi előirányzat"/>
      <sheetName val="2014. évi bankszámla egyenleg"/>
      <sheetName val="2015. évi előirányzat"/>
      <sheetName val="2015. bankszámla egyenleg"/>
      <sheetName val="2016 előirányzat"/>
      <sheetName val="2016 bankszámla egyenleg"/>
      <sheetName val="2017. előirányzat"/>
      <sheetName val="2017. bankszámla egyenleg"/>
      <sheetName val="2018. előirányzat"/>
      <sheetName val="2018. bankszámla egynleg"/>
      <sheetName val="2019. előirányzat"/>
      <sheetName val="2019. bankszámla egyenleg"/>
      <sheetName val="2020. előirányzat"/>
      <sheetName val="2020. bankszámla egyenleg"/>
      <sheetName val="2021. előirányzat"/>
      <sheetName val="2021. bankszámla egyenleg"/>
      <sheetName val="2022. előirányzat"/>
      <sheetName val="2022. bankszámla egyenleg"/>
      <sheetName val="2023. előirányzat"/>
      <sheetName val="2023. bankszámla egyenleg"/>
      <sheetName val="2024. előirányzat"/>
      <sheetName val="2024. bankszámla egyenleg"/>
      <sheetName val="előirányzat göngyölítve"/>
    </sheetNames>
    <sheetDataSet>
      <sheetData sheetId="0">
        <row r="4">
          <cell r="M4">
            <v>0</v>
          </cell>
          <cell r="N4">
            <v>0</v>
          </cell>
          <cell r="O4">
            <v>0</v>
          </cell>
        </row>
        <row r="5">
          <cell r="M5">
            <v>0</v>
          </cell>
          <cell r="N5">
            <v>0</v>
          </cell>
          <cell r="O5">
            <v>0</v>
          </cell>
        </row>
        <row r="6">
          <cell r="M6">
            <v>0</v>
          </cell>
          <cell r="N6">
            <v>0</v>
          </cell>
          <cell r="O6">
            <v>0</v>
          </cell>
        </row>
        <row r="7">
          <cell r="M7">
            <v>0</v>
          </cell>
          <cell r="N7">
            <v>0</v>
          </cell>
          <cell r="O7">
            <v>0</v>
          </cell>
        </row>
        <row r="8">
          <cell r="M8">
            <v>0</v>
          </cell>
          <cell r="N8">
            <v>0</v>
          </cell>
          <cell r="O8">
            <v>0</v>
          </cell>
        </row>
        <row r="9">
          <cell r="M9">
            <v>0</v>
          </cell>
          <cell r="N9">
            <v>0</v>
          </cell>
          <cell r="O9">
            <v>0</v>
          </cell>
        </row>
        <row r="10">
          <cell r="M10">
            <v>0</v>
          </cell>
          <cell r="N10">
            <v>0</v>
          </cell>
          <cell r="O10">
            <v>0</v>
          </cell>
        </row>
        <row r="11">
          <cell r="M11">
            <v>0</v>
          </cell>
          <cell r="N11">
            <v>0</v>
          </cell>
          <cell r="O11">
            <v>0</v>
          </cell>
        </row>
        <row r="12">
          <cell r="M12">
            <v>0</v>
          </cell>
          <cell r="N12">
            <v>0</v>
          </cell>
          <cell r="O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</row>
        <row r="16">
          <cell r="M16">
            <v>0</v>
          </cell>
          <cell r="N16">
            <v>0</v>
          </cell>
          <cell r="O16">
            <v>0</v>
          </cell>
        </row>
        <row r="17">
          <cell r="M17">
            <v>0</v>
          </cell>
          <cell r="N17">
            <v>0</v>
          </cell>
          <cell r="O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</row>
        <row r="23">
          <cell r="M23">
            <v>0</v>
          </cell>
          <cell r="N23">
            <v>0</v>
          </cell>
          <cell r="O23">
            <v>0</v>
          </cell>
        </row>
        <row r="24">
          <cell r="M24">
            <v>0</v>
          </cell>
          <cell r="N24">
            <v>0</v>
          </cell>
          <cell r="O24">
            <v>0</v>
          </cell>
        </row>
        <row r="26">
          <cell r="M26">
            <v>0</v>
          </cell>
          <cell r="N26">
            <v>0</v>
          </cell>
          <cell r="O26">
            <v>0</v>
          </cell>
        </row>
        <row r="27">
          <cell r="M27">
            <v>0</v>
          </cell>
          <cell r="N27">
            <v>0</v>
          </cell>
          <cell r="O27">
            <v>0</v>
          </cell>
        </row>
        <row r="28">
          <cell r="M28">
            <v>0</v>
          </cell>
          <cell r="N28">
            <v>0</v>
          </cell>
          <cell r="O28">
            <v>0</v>
          </cell>
        </row>
        <row r="29">
          <cell r="M29">
            <v>0</v>
          </cell>
          <cell r="N29">
            <v>0</v>
          </cell>
          <cell r="O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</row>
        <row r="32">
          <cell r="M32">
            <v>0</v>
          </cell>
          <cell r="N32">
            <v>0</v>
          </cell>
          <cell r="O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</row>
        <row r="34">
          <cell r="M34">
            <v>0</v>
          </cell>
          <cell r="N34">
            <v>0</v>
          </cell>
          <cell r="O34">
            <v>0</v>
          </cell>
        </row>
        <row r="35">
          <cell r="M35">
            <v>0</v>
          </cell>
          <cell r="N35">
            <v>0</v>
          </cell>
          <cell r="O35">
            <v>0</v>
          </cell>
        </row>
        <row r="36">
          <cell r="M36">
            <v>0</v>
          </cell>
          <cell r="N36">
            <v>0</v>
          </cell>
          <cell r="O36">
            <v>0</v>
          </cell>
        </row>
        <row r="37">
          <cell r="M37">
            <v>0</v>
          </cell>
          <cell r="N37">
            <v>0</v>
          </cell>
          <cell r="O37">
            <v>0</v>
          </cell>
        </row>
        <row r="38">
          <cell r="M38">
            <v>0</v>
          </cell>
          <cell r="N38">
            <v>0</v>
          </cell>
          <cell r="O38">
            <v>0</v>
          </cell>
        </row>
        <row r="39">
          <cell r="M39">
            <v>0</v>
          </cell>
          <cell r="N39">
            <v>0</v>
          </cell>
          <cell r="O39">
            <v>0</v>
          </cell>
        </row>
        <row r="40">
          <cell r="M40">
            <v>0</v>
          </cell>
          <cell r="N40">
            <v>0</v>
          </cell>
          <cell r="O40">
            <v>0</v>
          </cell>
        </row>
        <row r="41">
          <cell r="M41">
            <v>0</v>
          </cell>
          <cell r="N41">
            <v>0</v>
          </cell>
          <cell r="O41">
            <v>0</v>
          </cell>
        </row>
        <row r="42">
          <cell r="M42">
            <v>0</v>
          </cell>
          <cell r="N42">
            <v>0</v>
          </cell>
          <cell r="O42">
            <v>0</v>
          </cell>
        </row>
        <row r="43">
          <cell r="M43">
            <v>0</v>
          </cell>
          <cell r="N43">
            <v>0</v>
          </cell>
          <cell r="O43">
            <v>0</v>
          </cell>
        </row>
        <row r="44">
          <cell r="M44">
            <v>0</v>
          </cell>
          <cell r="N44">
            <v>0</v>
          </cell>
          <cell r="O44">
            <v>0</v>
          </cell>
        </row>
        <row r="45">
          <cell r="M45">
            <v>0</v>
          </cell>
          <cell r="N45">
            <v>0</v>
          </cell>
          <cell r="O45">
            <v>0</v>
          </cell>
        </row>
        <row r="46">
          <cell r="M46">
            <v>0</v>
          </cell>
          <cell r="N46">
            <v>0</v>
          </cell>
          <cell r="O46">
            <v>0</v>
          </cell>
        </row>
        <row r="47">
          <cell r="M47">
            <v>0</v>
          </cell>
          <cell r="N47">
            <v>0</v>
          </cell>
          <cell r="O47">
            <v>0</v>
          </cell>
        </row>
        <row r="48">
          <cell r="M48">
            <v>0</v>
          </cell>
          <cell r="N48">
            <v>0</v>
          </cell>
          <cell r="O48">
            <v>0</v>
          </cell>
        </row>
        <row r="49">
          <cell r="M49">
            <v>0</v>
          </cell>
          <cell r="N49">
            <v>0</v>
          </cell>
          <cell r="O49">
            <v>0</v>
          </cell>
        </row>
        <row r="50">
          <cell r="M50">
            <v>0</v>
          </cell>
          <cell r="N50">
            <v>0</v>
          </cell>
          <cell r="O50">
            <v>0</v>
          </cell>
        </row>
        <row r="51">
          <cell r="M51">
            <v>0</v>
          </cell>
          <cell r="N51">
            <v>0</v>
          </cell>
          <cell r="O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</row>
        <row r="53">
          <cell r="M53">
            <v>0</v>
          </cell>
          <cell r="N53">
            <v>0</v>
          </cell>
          <cell r="O53">
            <v>0</v>
          </cell>
        </row>
        <row r="54">
          <cell r="M54">
            <v>0</v>
          </cell>
          <cell r="N54">
            <v>0</v>
          </cell>
          <cell r="O54">
            <v>0</v>
          </cell>
        </row>
        <row r="55">
          <cell r="M55">
            <v>0</v>
          </cell>
          <cell r="N55">
            <v>0</v>
          </cell>
          <cell r="O55">
            <v>0</v>
          </cell>
        </row>
        <row r="56">
          <cell r="M56">
            <v>0</v>
          </cell>
          <cell r="N56">
            <v>0</v>
          </cell>
          <cell r="O56">
            <v>0</v>
          </cell>
        </row>
        <row r="57">
          <cell r="M57">
            <v>0</v>
          </cell>
          <cell r="N57">
            <v>0</v>
          </cell>
          <cell r="O57">
            <v>0</v>
          </cell>
        </row>
        <row r="58">
          <cell r="M58">
            <v>0</v>
          </cell>
          <cell r="N58">
            <v>0</v>
          </cell>
          <cell r="O58">
            <v>0</v>
          </cell>
        </row>
        <row r="59">
          <cell r="M59">
            <v>0</v>
          </cell>
          <cell r="N59">
            <v>0</v>
          </cell>
          <cell r="O59">
            <v>0</v>
          </cell>
        </row>
        <row r="60">
          <cell r="M60">
            <v>0</v>
          </cell>
          <cell r="N60">
            <v>0</v>
          </cell>
          <cell r="O60">
            <v>0</v>
          </cell>
        </row>
        <row r="61">
          <cell r="M61">
            <v>0</v>
          </cell>
          <cell r="N61">
            <v>0</v>
          </cell>
          <cell r="O61">
            <v>0</v>
          </cell>
        </row>
        <row r="62">
          <cell r="M62">
            <v>0</v>
          </cell>
          <cell r="N62">
            <v>0</v>
          </cell>
          <cell r="O62">
            <v>0</v>
          </cell>
        </row>
        <row r="63">
          <cell r="M63">
            <v>0</v>
          </cell>
          <cell r="N63">
            <v>0</v>
          </cell>
          <cell r="O63">
            <v>0</v>
          </cell>
        </row>
        <row r="64">
          <cell r="M64">
            <v>0</v>
          </cell>
          <cell r="N64">
            <v>0</v>
          </cell>
          <cell r="O64">
            <v>0</v>
          </cell>
        </row>
        <row r="65">
          <cell r="M65">
            <v>0</v>
          </cell>
          <cell r="N65">
            <v>0</v>
          </cell>
          <cell r="O65">
            <v>0</v>
          </cell>
        </row>
        <row r="66">
          <cell r="M66">
            <v>0</v>
          </cell>
          <cell r="N66">
            <v>0</v>
          </cell>
          <cell r="O66">
            <v>0</v>
          </cell>
        </row>
        <row r="67">
          <cell r="M67">
            <v>0</v>
          </cell>
          <cell r="N67">
            <v>0</v>
          </cell>
          <cell r="O67">
            <v>0</v>
          </cell>
        </row>
        <row r="68">
          <cell r="M68">
            <v>0</v>
          </cell>
          <cell r="N68">
            <v>0</v>
          </cell>
          <cell r="O68">
            <v>0</v>
          </cell>
        </row>
        <row r="69">
          <cell r="M69">
            <v>0</v>
          </cell>
          <cell r="N69">
            <v>0</v>
          </cell>
          <cell r="O69">
            <v>0</v>
          </cell>
        </row>
        <row r="70">
          <cell r="M70">
            <v>0</v>
          </cell>
          <cell r="N70">
            <v>0</v>
          </cell>
          <cell r="O70">
            <v>0</v>
          </cell>
        </row>
        <row r="71">
          <cell r="M71">
            <v>0</v>
          </cell>
          <cell r="N71">
            <v>0</v>
          </cell>
          <cell r="O71">
            <v>0</v>
          </cell>
        </row>
        <row r="72">
          <cell r="M72">
            <v>0</v>
          </cell>
          <cell r="N72">
            <v>0</v>
          </cell>
          <cell r="O72">
            <v>0</v>
          </cell>
        </row>
        <row r="73">
          <cell r="M73">
            <v>0</v>
          </cell>
          <cell r="N73">
            <v>0</v>
          </cell>
          <cell r="O73">
            <v>0</v>
          </cell>
        </row>
        <row r="74">
          <cell r="M74">
            <v>0</v>
          </cell>
          <cell r="N74">
            <v>0</v>
          </cell>
          <cell r="O74">
            <v>0</v>
          </cell>
        </row>
        <row r="75">
          <cell r="M75">
            <v>0</v>
          </cell>
          <cell r="N75">
            <v>0</v>
          </cell>
          <cell r="O75">
            <v>0</v>
          </cell>
        </row>
        <row r="76">
          <cell r="M76">
            <v>0</v>
          </cell>
          <cell r="N76">
            <v>0</v>
          </cell>
          <cell r="O76">
            <v>0</v>
          </cell>
        </row>
        <row r="77">
          <cell r="M77">
            <v>0</v>
          </cell>
          <cell r="N77">
            <v>0</v>
          </cell>
          <cell r="O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</row>
        <row r="80">
          <cell r="M80">
            <v>0</v>
          </cell>
          <cell r="N80">
            <v>0</v>
          </cell>
          <cell r="O80">
            <v>0</v>
          </cell>
        </row>
        <row r="81">
          <cell r="M81">
            <v>0</v>
          </cell>
          <cell r="N81">
            <v>0</v>
          </cell>
          <cell r="O81">
            <v>0</v>
          </cell>
        </row>
        <row r="82">
          <cell r="M82">
            <v>0</v>
          </cell>
          <cell r="N82">
            <v>0</v>
          </cell>
          <cell r="O82">
            <v>0</v>
          </cell>
        </row>
        <row r="83">
          <cell r="M83">
            <v>0</v>
          </cell>
          <cell r="N83">
            <v>0</v>
          </cell>
          <cell r="O83">
            <v>0</v>
          </cell>
        </row>
        <row r="84">
          <cell r="M84">
            <v>0</v>
          </cell>
          <cell r="N84">
            <v>0</v>
          </cell>
          <cell r="O84">
            <v>0</v>
          </cell>
        </row>
        <row r="85">
          <cell r="M85">
            <v>0</v>
          </cell>
          <cell r="N85">
            <v>0</v>
          </cell>
          <cell r="O85">
            <v>0</v>
          </cell>
        </row>
        <row r="86">
          <cell r="M86">
            <v>0</v>
          </cell>
          <cell r="N86">
            <v>0</v>
          </cell>
          <cell r="O86">
            <v>0</v>
          </cell>
        </row>
        <row r="87">
          <cell r="M87">
            <v>0</v>
          </cell>
          <cell r="N87">
            <v>0</v>
          </cell>
          <cell r="O87">
            <v>0</v>
          </cell>
        </row>
        <row r="88">
          <cell r="M88">
            <v>0</v>
          </cell>
          <cell r="N88">
            <v>0</v>
          </cell>
          <cell r="O88">
            <v>0</v>
          </cell>
        </row>
        <row r="89">
          <cell r="M89">
            <v>0</v>
          </cell>
          <cell r="N89">
            <v>0</v>
          </cell>
          <cell r="O89">
            <v>0</v>
          </cell>
        </row>
        <row r="91">
          <cell r="M91">
            <v>0</v>
          </cell>
          <cell r="N91">
            <v>0</v>
          </cell>
          <cell r="O91">
            <v>0</v>
          </cell>
        </row>
        <row r="92">
          <cell r="M92">
            <v>0</v>
          </cell>
          <cell r="N92">
            <v>0</v>
          </cell>
          <cell r="O92">
            <v>0</v>
          </cell>
        </row>
        <row r="93">
          <cell r="M93">
            <v>0</v>
          </cell>
          <cell r="N93">
            <v>0</v>
          </cell>
          <cell r="O93">
            <v>0</v>
          </cell>
        </row>
        <row r="94">
          <cell r="M94">
            <v>0</v>
          </cell>
          <cell r="N94">
            <v>0</v>
          </cell>
          <cell r="O94">
            <v>0</v>
          </cell>
        </row>
        <row r="95">
          <cell r="M95">
            <v>0</v>
          </cell>
          <cell r="N95">
            <v>0</v>
          </cell>
          <cell r="O95">
            <v>0</v>
          </cell>
        </row>
        <row r="96">
          <cell r="M96">
            <v>0</v>
          </cell>
          <cell r="N96">
            <v>0</v>
          </cell>
          <cell r="O96">
            <v>0</v>
          </cell>
        </row>
        <row r="97">
          <cell r="M97">
            <v>0</v>
          </cell>
          <cell r="N97">
            <v>0</v>
          </cell>
          <cell r="O97">
            <v>0</v>
          </cell>
        </row>
        <row r="98">
          <cell r="M98">
            <v>0</v>
          </cell>
          <cell r="N98">
            <v>0</v>
          </cell>
          <cell r="O98">
            <v>0</v>
          </cell>
        </row>
        <row r="99">
          <cell r="M99">
            <v>0</v>
          </cell>
          <cell r="N99">
            <v>0</v>
          </cell>
          <cell r="O99">
            <v>0</v>
          </cell>
        </row>
        <row r="100">
          <cell r="M100">
            <v>0</v>
          </cell>
          <cell r="N100">
            <v>0</v>
          </cell>
          <cell r="O100">
            <v>0</v>
          </cell>
        </row>
        <row r="101">
          <cell r="M101">
            <v>0</v>
          </cell>
          <cell r="N101">
            <v>0</v>
          </cell>
          <cell r="O101">
            <v>0</v>
          </cell>
        </row>
        <row r="102">
          <cell r="M102">
            <v>0</v>
          </cell>
          <cell r="N102">
            <v>0</v>
          </cell>
          <cell r="O102">
            <v>0</v>
          </cell>
        </row>
        <row r="103">
          <cell r="M103">
            <v>0</v>
          </cell>
          <cell r="N103">
            <v>0</v>
          </cell>
          <cell r="O103">
            <v>0</v>
          </cell>
        </row>
        <row r="104">
          <cell r="M104">
            <v>0</v>
          </cell>
          <cell r="N104">
            <v>0</v>
          </cell>
          <cell r="O104">
            <v>0</v>
          </cell>
        </row>
        <row r="105">
          <cell r="M105">
            <v>0</v>
          </cell>
          <cell r="N105">
            <v>0</v>
          </cell>
          <cell r="O105">
            <v>0</v>
          </cell>
        </row>
        <row r="106">
          <cell r="M106">
            <v>0</v>
          </cell>
          <cell r="N106">
            <v>0</v>
          </cell>
          <cell r="O106">
            <v>0</v>
          </cell>
        </row>
        <row r="107">
          <cell r="M107">
            <v>0</v>
          </cell>
          <cell r="N107">
            <v>0</v>
          </cell>
          <cell r="O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</row>
        <row r="109">
          <cell r="M109">
            <v>0</v>
          </cell>
          <cell r="N109">
            <v>0</v>
          </cell>
          <cell r="O109">
            <v>0</v>
          </cell>
        </row>
        <row r="110">
          <cell r="M110">
            <v>0</v>
          </cell>
          <cell r="N110">
            <v>0</v>
          </cell>
          <cell r="O110">
            <v>0</v>
          </cell>
        </row>
        <row r="111">
          <cell r="M111">
            <v>0</v>
          </cell>
          <cell r="N111">
            <v>0</v>
          </cell>
          <cell r="O111">
            <v>0</v>
          </cell>
        </row>
        <row r="112">
          <cell r="M112">
            <v>0</v>
          </cell>
          <cell r="N112">
            <v>0</v>
          </cell>
          <cell r="O112">
            <v>0</v>
          </cell>
        </row>
        <row r="113">
          <cell r="M113">
            <v>0</v>
          </cell>
          <cell r="N113">
            <v>0</v>
          </cell>
          <cell r="O113">
            <v>0</v>
          </cell>
        </row>
        <row r="114">
          <cell r="M114">
            <v>0</v>
          </cell>
          <cell r="N114">
            <v>0</v>
          </cell>
          <cell r="O114">
            <v>0</v>
          </cell>
        </row>
        <row r="115">
          <cell r="M115">
            <v>0</v>
          </cell>
          <cell r="N115">
            <v>0</v>
          </cell>
          <cell r="O115">
            <v>0</v>
          </cell>
        </row>
        <row r="116">
          <cell r="M116">
            <v>0</v>
          </cell>
          <cell r="N116">
            <v>0</v>
          </cell>
          <cell r="O116">
            <v>0</v>
          </cell>
        </row>
        <row r="117">
          <cell r="M117">
            <v>0</v>
          </cell>
          <cell r="N117">
            <v>0</v>
          </cell>
          <cell r="O117">
            <v>0</v>
          </cell>
        </row>
        <row r="118">
          <cell r="M118">
            <v>0</v>
          </cell>
          <cell r="N118">
            <v>0</v>
          </cell>
          <cell r="O118">
            <v>0</v>
          </cell>
        </row>
        <row r="119">
          <cell r="M119">
            <v>0</v>
          </cell>
          <cell r="N119">
            <v>0</v>
          </cell>
          <cell r="O119">
            <v>0</v>
          </cell>
        </row>
        <row r="120">
          <cell r="M120">
            <v>0</v>
          </cell>
          <cell r="N120">
            <v>0</v>
          </cell>
          <cell r="O120">
            <v>0</v>
          </cell>
        </row>
        <row r="121">
          <cell r="M121">
            <v>0</v>
          </cell>
          <cell r="N121">
            <v>0</v>
          </cell>
          <cell r="O121">
            <v>0</v>
          </cell>
        </row>
        <row r="122">
          <cell r="M122">
            <v>0</v>
          </cell>
          <cell r="N122">
            <v>0</v>
          </cell>
          <cell r="O122">
            <v>0</v>
          </cell>
        </row>
        <row r="123">
          <cell r="M123">
            <v>0</v>
          </cell>
          <cell r="N123">
            <v>0</v>
          </cell>
          <cell r="O123">
            <v>0</v>
          </cell>
        </row>
        <row r="124">
          <cell r="M124">
            <v>0</v>
          </cell>
          <cell r="N124">
            <v>0</v>
          </cell>
          <cell r="O124">
            <v>0</v>
          </cell>
        </row>
        <row r="125">
          <cell r="M125">
            <v>0</v>
          </cell>
          <cell r="N125">
            <v>0</v>
          </cell>
          <cell r="O125">
            <v>0</v>
          </cell>
        </row>
        <row r="126">
          <cell r="M126">
            <v>0</v>
          </cell>
          <cell r="N126">
            <v>0</v>
          </cell>
          <cell r="O126">
            <v>0</v>
          </cell>
        </row>
        <row r="127">
          <cell r="M127">
            <v>0</v>
          </cell>
          <cell r="N127">
            <v>0</v>
          </cell>
          <cell r="O127">
            <v>0</v>
          </cell>
        </row>
        <row r="128">
          <cell r="M128">
            <v>0</v>
          </cell>
          <cell r="N128">
            <v>0</v>
          </cell>
          <cell r="O128">
            <v>0</v>
          </cell>
        </row>
        <row r="129">
          <cell r="M129">
            <v>0</v>
          </cell>
          <cell r="N129">
            <v>0</v>
          </cell>
          <cell r="O129">
            <v>0</v>
          </cell>
        </row>
        <row r="130">
          <cell r="M130">
            <v>0</v>
          </cell>
          <cell r="N130">
            <v>0</v>
          </cell>
          <cell r="O130">
            <v>0</v>
          </cell>
        </row>
        <row r="131">
          <cell r="M131">
            <v>0</v>
          </cell>
          <cell r="N131">
            <v>0</v>
          </cell>
          <cell r="O131">
            <v>0</v>
          </cell>
        </row>
        <row r="132">
          <cell r="M132">
            <v>0</v>
          </cell>
          <cell r="N132">
            <v>0</v>
          </cell>
          <cell r="O132">
            <v>0</v>
          </cell>
        </row>
        <row r="133">
          <cell r="M133">
            <v>0</v>
          </cell>
          <cell r="N133">
            <v>0</v>
          </cell>
          <cell r="O133">
            <v>0</v>
          </cell>
        </row>
        <row r="134">
          <cell r="M134">
            <v>0</v>
          </cell>
          <cell r="N134">
            <v>0</v>
          </cell>
          <cell r="O134">
            <v>0</v>
          </cell>
        </row>
      </sheetData>
      <sheetData sheetId="1"/>
      <sheetData sheetId="2">
        <row r="4">
          <cell r="J4">
            <v>0</v>
          </cell>
          <cell r="K4">
            <v>0</v>
          </cell>
        </row>
        <row r="5">
          <cell r="J5">
            <v>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0</v>
          </cell>
          <cell r="K11">
            <v>0</v>
          </cell>
        </row>
        <row r="12">
          <cell r="J12">
            <v>0</v>
          </cell>
          <cell r="K12">
            <v>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0</v>
          </cell>
          <cell r="K15">
            <v>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0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J33">
            <v>0</v>
          </cell>
          <cell r="K33">
            <v>0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0</v>
          </cell>
          <cell r="K50">
            <v>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0</v>
          </cell>
          <cell r="K65">
            <v>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69">
          <cell r="J69">
            <v>0</v>
          </cell>
          <cell r="K69">
            <v>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0</v>
          </cell>
        </row>
        <row r="77">
          <cell r="J77">
            <v>0</v>
          </cell>
          <cell r="K77">
            <v>0</v>
          </cell>
        </row>
        <row r="78">
          <cell r="J78">
            <v>0</v>
          </cell>
          <cell r="K78">
            <v>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0</v>
          </cell>
          <cell r="K82">
            <v>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0</v>
          </cell>
        </row>
        <row r="92">
          <cell r="J92">
            <v>0</v>
          </cell>
          <cell r="K92">
            <v>0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0</v>
          </cell>
          <cell r="K96">
            <v>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0</v>
          </cell>
          <cell r="K101">
            <v>0</v>
          </cell>
        </row>
        <row r="102">
          <cell r="J102">
            <v>0</v>
          </cell>
          <cell r="K102">
            <v>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0</v>
          </cell>
        </row>
        <row r="106">
          <cell r="J106">
            <v>0</v>
          </cell>
          <cell r="K106">
            <v>0</v>
          </cell>
        </row>
        <row r="107">
          <cell r="J107">
            <v>0</v>
          </cell>
          <cell r="K107">
            <v>0</v>
          </cell>
        </row>
        <row r="108">
          <cell r="J108">
            <v>0</v>
          </cell>
          <cell r="K108">
            <v>0</v>
          </cell>
        </row>
        <row r="109">
          <cell r="J109">
            <v>0</v>
          </cell>
          <cell r="K109">
            <v>0</v>
          </cell>
        </row>
        <row r="110">
          <cell r="J110">
            <v>0</v>
          </cell>
          <cell r="K110">
            <v>0</v>
          </cell>
        </row>
        <row r="111">
          <cell r="J111">
            <v>0</v>
          </cell>
          <cell r="K111">
            <v>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0</v>
          </cell>
          <cell r="K122">
            <v>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0</v>
          </cell>
          <cell r="K127">
            <v>0</v>
          </cell>
        </row>
        <row r="128">
          <cell r="J128">
            <v>0</v>
          </cell>
          <cell r="K128">
            <v>0</v>
          </cell>
        </row>
        <row r="129">
          <cell r="J129">
            <v>0</v>
          </cell>
          <cell r="K129">
            <v>0</v>
          </cell>
        </row>
        <row r="130">
          <cell r="J130">
            <v>0</v>
          </cell>
          <cell r="K130">
            <v>0</v>
          </cell>
        </row>
        <row r="131">
          <cell r="J131">
            <v>0</v>
          </cell>
          <cell r="K131">
            <v>0</v>
          </cell>
        </row>
        <row r="132">
          <cell r="J132">
            <v>0</v>
          </cell>
          <cell r="K132">
            <v>0</v>
          </cell>
        </row>
        <row r="133">
          <cell r="J133">
            <v>0</v>
          </cell>
          <cell r="K133">
            <v>0</v>
          </cell>
        </row>
        <row r="134">
          <cell r="J134">
            <v>0</v>
          </cell>
          <cell r="K134">
            <v>0</v>
          </cell>
        </row>
      </sheetData>
      <sheetData sheetId="3"/>
      <sheetData sheetId="4">
        <row r="4">
          <cell r="J4">
            <v>0</v>
          </cell>
          <cell r="K4">
            <v>0</v>
          </cell>
        </row>
        <row r="5">
          <cell r="J5">
            <v>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0</v>
          </cell>
          <cell r="K11">
            <v>0</v>
          </cell>
        </row>
        <row r="12">
          <cell r="J12">
            <v>0</v>
          </cell>
          <cell r="K12">
            <v>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0</v>
          </cell>
          <cell r="K15">
            <v>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0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J33">
            <v>0</v>
          </cell>
          <cell r="K33">
            <v>0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0</v>
          </cell>
          <cell r="K50">
            <v>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0</v>
          </cell>
          <cell r="K65">
            <v>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69">
          <cell r="J69">
            <v>0</v>
          </cell>
          <cell r="K69">
            <v>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0</v>
          </cell>
        </row>
        <row r="77">
          <cell r="J77">
            <v>0</v>
          </cell>
          <cell r="K77">
            <v>0</v>
          </cell>
        </row>
        <row r="78">
          <cell r="J78">
            <v>0</v>
          </cell>
          <cell r="K78">
            <v>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0</v>
          </cell>
          <cell r="K82">
            <v>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0</v>
          </cell>
        </row>
        <row r="92">
          <cell r="J92">
            <v>0</v>
          </cell>
          <cell r="K92">
            <v>0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0</v>
          </cell>
          <cell r="K96">
            <v>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0</v>
          </cell>
          <cell r="K101">
            <v>0</v>
          </cell>
        </row>
        <row r="102">
          <cell r="J102">
            <v>0</v>
          </cell>
          <cell r="K102">
            <v>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0</v>
          </cell>
        </row>
        <row r="106">
          <cell r="J106">
            <v>0</v>
          </cell>
          <cell r="K106">
            <v>0</v>
          </cell>
        </row>
        <row r="107">
          <cell r="J107">
            <v>0</v>
          </cell>
          <cell r="K107">
            <v>0</v>
          </cell>
        </row>
        <row r="108">
          <cell r="J108">
            <v>0</v>
          </cell>
          <cell r="K108">
            <v>0</v>
          </cell>
        </row>
        <row r="109">
          <cell r="J109">
            <v>0</v>
          </cell>
          <cell r="K109">
            <v>0</v>
          </cell>
        </row>
        <row r="110">
          <cell r="J110">
            <v>0</v>
          </cell>
          <cell r="K110">
            <v>0</v>
          </cell>
        </row>
        <row r="111">
          <cell r="J111">
            <v>0</v>
          </cell>
          <cell r="K111">
            <v>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0</v>
          </cell>
          <cell r="K122">
            <v>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0</v>
          </cell>
          <cell r="K127">
            <v>0</v>
          </cell>
        </row>
        <row r="128">
          <cell r="J128">
            <v>0</v>
          </cell>
          <cell r="K128">
            <v>0</v>
          </cell>
        </row>
        <row r="129">
          <cell r="J129">
            <v>0</v>
          </cell>
          <cell r="K129">
            <v>0</v>
          </cell>
        </row>
        <row r="130">
          <cell r="J130">
            <v>0</v>
          </cell>
          <cell r="K130">
            <v>0</v>
          </cell>
        </row>
        <row r="131">
          <cell r="J131">
            <v>0</v>
          </cell>
          <cell r="K131">
            <v>0</v>
          </cell>
        </row>
        <row r="132">
          <cell r="J132">
            <v>0</v>
          </cell>
          <cell r="K132">
            <v>0</v>
          </cell>
        </row>
        <row r="133">
          <cell r="J133">
            <v>0</v>
          </cell>
          <cell r="K133">
            <v>0</v>
          </cell>
        </row>
        <row r="134">
          <cell r="J134">
            <v>0</v>
          </cell>
          <cell r="K134">
            <v>0</v>
          </cell>
        </row>
      </sheetData>
      <sheetData sheetId="5">
        <row r="4">
          <cell r="J4">
            <v>0</v>
          </cell>
          <cell r="K4">
            <v>0</v>
          </cell>
        </row>
        <row r="5">
          <cell r="J5">
            <v>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0</v>
          </cell>
          <cell r="K11">
            <v>0</v>
          </cell>
        </row>
        <row r="12">
          <cell r="J12">
            <v>0</v>
          </cell>
          <cell r="K12">
            <v>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0</v>
          </cell>
          <cell r="K15">
            <v>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0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J33">
            <v>0</v>
          </cell>
          <cell r="K33">
            <v>0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0</v>
          </cell>
          <cell r="K50">
            <v>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0</v>
          </cell>
          <cell r="K65">
            <v>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69">
          <cell r="J69">
            <v>0</v>
          </cell>
          <cell r="K69">
            <v>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0</v>
          </cell>
        </row>
        <row r="77">
          <cell r="J77">
            <v>0</v>
          </cell>
          <cell r="K77">
            <v>0</v>
          </cell>
        </row>
        <row r="78">
          <cell r="J78">
            <v>0</v>
          </cell>
          <cell r="K78">
            <v>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0</v>
          </cell>
          <cell r="K82">
            <v>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0</v>
          </cell>
        </row>
        <row r="92">
          <cell r="J92">
            <v>0</v>
          </cell>
          <cell r="K92">
            <v>0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0</v>
          </cell>
          <cell r="K96">
            <v>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0</v>
          </cell>
          <cell r="K101">
            <v>0</v>
          </cell>
        </row>
        <row r="102">
          <cell r="J102">
            <v>0</v>
          </cell>
          <cell r="K102">
            <v>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0</v>
          </cell>
        </row>
        <row r="106">
          <cell r="J106">
            <v>0</v>
          </cell>
          <cell r="K106">
            <v>0</v>
          </cell>
        </row>
        <row r="107">
          <cell r="J107">
            <v>0</v>
          </cell>
          <cell r="K107">
            <v>0</v>
          </cell>
        </row>
        <row r="108">
          <cell r="J108">
            <v>0</v>
          </cell>
          <cell r="K108">
            <v>0</v>
          </cell>
        </row>
        <row r="109">
          <cell r="J109">
            <v>0</v>
          </cell>
          <cell r="K109">
            <v>0</v>
          </cell>
        </row>
        <row r="110">
          <cell r="J110">
            <v>0</v>
          </cell>
          <cell r="K110">
            <v>0</v>
          </cell>
        </row>
        <row r="111">
          <cell r="J111">
            <v>0</v>
          </cell>
          <cell r="K111">
            <v>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0</v>
          </cell>
          <cell r="K122">
            <v>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0</v>
          </cell>
          <cell r="K127">
            <v>0</v>
          </cell>
        </row>
        <row r="128">
          <cell r="J128">
            <v>0</v>
          </cell>
          <cell r="K128">
            <v>0</v>
          </cell>
        </row>
        <row r="129">
          <cell r="J129">
            <v>0</v>
          </cell>
          <cell r="K129">
            <v>0</v>
          </cell>
        </row>
        <row r="130">
          <cell r="J130">
            <v>0</v>
          </cell>
          <cell r="K130">
            <v>0</v>
          </cell>
        </row>
        <row r="131">
          <cell r="J131">
            <v>0</v>
          </cell>
          <cell r="K131">
            <v>0</v>
          </cell>
        </row>
        <row r="132">
          <cell r="J132">
            <v>0</v>
          </cell>
          <cell r="K132">
            <v>0</v>
          </cell>
        </row>
        <row r="133">
          <cell r="J133">
            <v>0</v>
          </cell>
          <cell r="K133">
            <v>0</v>
          </cell>
        </row>
        <row r="134">
          <cell r="J134">
            <v>0</v>
          </cell>
          <cell r="K134">
            <v>0</v>
          </cell>
        </row>
      </sheetData>
      <sheetData sheetId="6"/>
      <sheetData sheetId="7"/>
      <sheetData sheetId="8">
        <row r="4">
          <cell r="J4">
            <v>0</v>
          </cell>
          <cell r="K4">
            <v>0</v>
          </cell>
        </row>
        <row r="5">
          <cell r="J5">
            <v>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0</v>
          </cell>
          <cell r="K11">
            <v>0</v>
          </cell>
        </row>
        <row r="12">
          <cell r="J12">
            <v>0</v>
          </cell>
          <cell r="K12">
            <v>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0</v>
          </cell>
          <cell r="K15">
            <v>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0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J33">
            <v>0</v>
          </cell>
          <cell r="K33">
            <v>0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0</v>
          </cell>
          <cell r="K50">
            <v>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0</v>
          </cell>
          <cell r="K65">
            <v>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69">
          <cell r="J69">
            <v>0</v>
          </cell>
          <cell r="K69">
            <v>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0</v>
          </cell>
        </row>
        <row r="77">
          <cell r="J77">
            <v>0</v>
          </cell>
          <cell r="K77">
            <v>0</v>
          </cell>
        </row>
        <row r="78">
          <cell r="J78">
            <v>0</v>
          </cell>
          <cell r="K78">
            <v>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0</v>
          </cell>
          <cell r="K82">
            <v>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0</v>
          </cell>
        </row>
        <row r="92">
          <cell r="J92">
            <v>0</v>
          </cell>
          <cell r="K92">
            <v>0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0</v>
          </cell>
          <cell r="K96">
            <v>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0</v>
          </cell>
          <cell r="K101">
            <v>0</v>
          </cell>
        </row>
        <row r="102">
          <cell r="J102">
            <v>0</v>
          </cell>
          <cell r="K102">
            <v>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0</v>
          </cell>
        </row>
        <row r="106">
          <cell r="J106">
            <v>0</v>
          </cell>
          <cell r="K106">
            <v>0</v>
          </cell>
        </row>
        <row r="107">
          <cell r="J107">
            <v>0</v>
          </cell>
          <cell r="K107">
            <v>0</v>
          </cell>
        </row>
        <row r="108">
          <cell r="J108">
            <v>0</v>
          </cell>
          <cell r="K108">
            <v>0</v>
          </cell>
        </row>
        <row r="109">
          <cell r="J109">
            <v>0</v>
          </cell>
          <cell r="K109">
            <v>0</v>
          </cell>
        </row>
        <row r="110">
          <cell r="J110">
            <v>0</v>
          </cell>
          <cell r="K110">
            <v>0</v>
          </cell>
        </row>
        <row r="111">
          <cell r="J111">
            <v>0</v>
          </cell>
          <cell r="K111">
            <v>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0</v>
          </cell>
          <cell r="K122">
            <v>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0</v>
          </cell>
          <cell r="K127">
            <v>0</v>
          </cell>
        </row>
        <row r="128">
          <cell r="J128">
            <v>0</v>
          </cell>
          <cell r="K128">
            <v>0</v>
          </cell>
        </row>
        <row r="129">
          <cell r="J129">
            <v>0</v>
          </cell>
          <cell r="K129">
            <v>0</v>
          </cell>
        </row>
        <row r="130">
          <cell r="J130">
            <v>0</v>
          </cell>
          <cell r="K130">
            <v>0</v>
          </cell>
        </row>
        <row r="131">
          <cell r="J131">
            <v>0</v>
          </cell>
          <cell r="K131">
            <v>0</v>
          </cell>
        </row>
        <row r="132">
          <cell r="J132">
            <v>0</v>
          </cell>
          <cell r="K132">
            <v>0</v>
          </cell>
        </row>
        <row r="133">
          <cell r="J133">
            <v>0</v>
          </cell>
          <cell r="K133">
            <v>0</v>
          </cell>
        </row>
        <row r="134">
          <cell r="J134">
            <v>0</v>
          </cell>
          <cell r="K134">
            <v>0</v>
          </cell>
        </row>
      </sheetData>
      <sheetData sheetId="9"/>
      <sheetData sheetId="10">
        <row r="4">
          <cell r="J4">
            <v>0</v>
          </cell>
          <cell r="K4">
            <v>0</v>
          </cell>
        </row>
        <row r="5">
          <cell r="J5">
            <v>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32600</v>
          </cell>
          <cell r="K11">
            <v>0</v>
          </cell>
        </row>
        <row r="12">
          <cell r="J12">
            <v>0</v>
          </cell>
          <cell r="K12">
            <v>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0</v>
          </cell>
          <cell r="K15">
            <v>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0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26640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J33">
            <v>0</v>
          </cell>
          <cell r="K33">
            <v>0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0</v>
          </cell>
          <cell r="K50">
            <v>47800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0</v>
          </cell>
          <cell r="K65">
            <v>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69">
          <cell r="J69">
            <v>0</v>
          </cell>
          <cell r="K69">
            <v>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0</v>
          </cell>
        </row>
        <row r="77">
          <cell r="J77">
            <v>0</v>
          </cell>
          <cell r="K77">
            <v>0</v>
          </cell>
        </row>
        <row r="78">
          <cell r="J78">
            <v>0</v>
          </cell>
          <cell r="K78">
            <v>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0</v>
          </cell>
          <cell r="K82">
            <v>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0</v>
          </cell>
        </row>
        <row r="92">
          <cell r="J92">
            <v>0</v>
          </cell>
          <cell r="K92">
            <v>0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0</v>
          </cell>
          <cell r="K96">
            <v>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0</v>
          </cell>
          <cell r="K101">
            <v>0</v>
          </cell>
        </row>
        <row r="102">
          <cell r="J102">
            <v>0</v>
          </cell>
          <cell r="K102">
            <v>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0</v>
          </cell>
        </row>
        <row r="106">
          <cell r="J106">
            <v>0</v>
          </cell>
          <cell r="K106">
            <v>0</v>
          </cell>
        </row>
        <row r="107">
          <cell r="J107">
            <v>0</v>
          </cell>
          <cell r="K107">
            <v>0</v>
          </cell>
        </row>
        <row r="108">
          <cell r="J108">
            <v>0</v>
          </cell>
          <cell r="K108">
            <v>0</v>
          </cell>
        </row>
        <row r="109">
          <cell r="J109">
            <v>0</v>
          </cell>
          <cell r="K109">
            <v>0</v>
          </cell>
        </row>
        <row r="110">
          <cell r="J110">
            <v>0</v>
          </cell>
          <cell r="K110">
            <v>0</v>
          </cell>
        </row>
        <row r="111">
          <cell r="J111">
            <v>0</v>
          </cell>
          <cell r="K111">
            <v>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0</v>
          </cell>
          <cell r="K122">
            <v>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0</v>
          </cell>
          <cell r="K127">
            <v>85563</v>
          </cell>
        </row>
        <row r="128">
          <cell r="J128">
            <v>0</v>
          </cell>
          <cell r="K128">
            <v>0</v>
          </cell>
        </row>
        <row r="129">
          <cell r="J129">
            <v>0</v>
          </cell>
          <cell r="K129">
            <v>0</v>
          </cell>
        </row>
        <row r="130">
          <cell r="J130">
            <v>0</v>
          </cell>
          <cell r="K130">
            <v>0</v>
          </cell>
        </row>
        <row r="131">
          <cell r="J131">
            <v>0</v>
          </cell>
          <cell r="K131">
            <v>0</v>
          </cell>
        </row>
        <row r="132">
          <cell r="J132">
            <v>350400.00000000006</v>
          </cell>
          <cell r="K132">
            <v>0</v>
          </cell>
        </row>
        <row r="133">
          <cell r="J133">
            <v>0</v>
          </cell>
          <cell r="K133">
            <v>0</v>
          </cell>
        </row>
        <row r="134">
          <cell r="J134">
            <v>0</v>
          </cell>
          <cell r="K134">
            <v>0</v>
          </cell>
        </row>
      </sheetData>
      <sheetData sheetId="11"/>
      <sheetData sheetId="12">
        <row r="4">
          <cell r="J4">
            <v>0</v>
          </cell>
          <cell r="K4">
            <v>0</v>
          </cell>
        </row>
        <row r="5">
          <cell r="J5">
            <v>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32600</v>
          </cell>
          <cell r="K11">
            <v>163000</v>
          </cell>
        </row>
        <row r="12">
          <cell r="J12">
            <v>0</v>
          </cell>
          <cell r="K12">
            <v>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0</v>
          </cell>
          <cell r="K15">
            <v>735487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0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111000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104720</v>
          </cell>
        </row>
        <row r="30"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J33">
            <v>0</v>
          </cell>
          <cell r="K33">
            <v>597300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311345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47800.000000000007</v>
          </cell>
          <cell r="K50">
            <v>239000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0</v>
          </cell>
          <cell r="K65">
            <v>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69">
          <cell r="J69">
            <v>0</v>
          </cell>
          <cell r="K69">
            <v>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0</v>
          </cell>
        </row>
        <row r="77">
          <cell r="J77">
            <v>0</v>
          </cell>
          <cell r="K77">
            <v>0</v>
          </cell>
        </row>
        <row r="78">
          <cell r="J78">
            <v>0</v>
          </cell>
          <cell r="K78">
            <v>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9068</v>
          </cell>
          <cell r="K82">
            <v>195000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0</v>
          </cell>
        </row>
        <row r="92">
          <cell r="J92">
            <v>0</v>
          </cell>
          <cell r="K92">
            <v>0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0</v>
          </cell>
          <cell r="K96">
            <v>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0</v>
          </cell>
          <cell r="K101">
            <v>221980</v>
          </cell>
        </row>
        <row r="102">
          <cell r="J102">
            <v>0</v>
          </cell>
          <cell r="K102">
            <v>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0</v>
          </cell>
        </row>
        <row r="106">
          <cell r="J106">
            <v>0</v>
          </cell>
          <cell r="K106">
            <v>0</v>
          </cell>
        </row>
        <row r="107">
          <cell r="J107">
            <v>0</v>
          </cell>
          <cell r="K107">
            <v>0</v>
          </cell>
        </row>
        <row r="108">
          <cell r="J108">
            <v>0</v>
          </cell>
          <cell r="K108">
            <v>0</v>
          </cell>
        </row>
        <row r="109">
          <cell r="J109">
            <v>36800</v>
          </cell>
          <cell r="K109">
            <v>345000</v>
          </cell>
        </row>
        <row r="110">
          <cell r="J110">
            <v>0</v>
          </cell>
          <cell r="K110">
            <v>0</v>
          </cell>
        </row>
        <row r="111">
          <cell r="J111">
            <v>0</v>
          </cell>
          <cell r="K111">
            <v>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0</v>
          </cell>
          <cell r="K122">
            <v>379600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0</v>
          </cell>
          <cell r="K127">
            <v>731500</v>
          </cell>
        </row>
        <row r="128">
          <cell r="J128">
            <v>0</v>
          </cell>
          <cell r="K128">
            <v>0</v>
          </cell>
        </row>
        <row r="129">
          <cell r="J129">
            <v>0</v>
          </cell>
          <cell r="K129">
            <v>149820</v>
          </cell>
        </row>
        <row r="130">
          <cell r="J130">
            <v>0</v>
          </cell>
          <cell r="K130">
            <v>0</v>
          </cell>
        </row>
        <row r="131">
          <cell r="J131">
            <v>0</v>
          </cell>
          <cell r="K131">
            <v>0</v>
          </cell>
        </row>
        <row r="132">
          <cell r="J132">
            <v>350400.00000000006</v>
          </cell>
          <cell r="K132">
            <v>1752000</v>
          </cell>
        </row>
        <row r="133">
          <cell r="J133">
            <v>0</v>
          </cell>
          <cell r="K133">
            <v>0</v>
          </cell>
        </row>
        <row r="134">
          <cell r="J134">
            <v>0</v>
          </cell>
          <cell r="K134">
            <v>0</v>
          </cell>
        </row>
      </sheetData>
      <sheetData sheetId="13"/>
      <sheetData sheetId="14">
        <row r="4">
          <cell r="J4">
            <v>0</v>
          </cell>
          <cell r="K4">
            <v>27041560</v>
          </cell>
        </row>
        <row r="5">
          <cell r="J5">
            <v>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32600</v>
          </cell>
          <cell r="K11">
            <v>163000</v>
          </cell>
        </row>
        <row r="12">
          <cell r="J12">
            <v>0</v>
          </cell>
          <cell r="K12">
            <v>101000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180300</v>
          </cell>
          <cell r="K15">
            <v>901500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0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145167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111000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455252</v>
          </cell>
        </row>
        <row r="29">
          <cell r="J29">
            <v>47600</v>
          </cell>
          <cell r="K29">
            <v>238000</v>
          </cell>
        </row>
        <row r="30"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J33">
            <v>271500</v>
          </cell>
          <cell r="K33">
            <v>1357500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253300</v>
          </cell>
          <cell r="K47">
            <v>1266500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47800.000000000007</v>
          </cell>
          <cell r="K50">
            <v>239000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0</v>
          </cell>
          <cell r="K59">
            <v>4115700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0</v>
          </cell>
          <cell r="K65">
            <v>73600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69">
          <cell r="J69">
            <v>0</v>
          </cell>
          <cell r="K69">
            <v>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0</v>
          </cell>
        </row>
        <row r="77">
          <cell r="J77">
            <v>0</v>
          </cell>
          <cell r="K77">
            <v>0</v>
          </cell>
        </row>
        <row r="78">
          <cell r="J78">
            <v>0</v>
          </cell>
          <cell r="K78">
            <v>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39000</v>
          </cell>
          <cell r="K82">
            <v>195000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0</v>
          </cell>
        </row>
        <row r="92">
          <cell r="J92">
            <v>0</v>
          </cell>
          <cell r="K92">
            <v>0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0</v>
          </cell>
          <cell r="K96">
            <v>190025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100900</v>
          </cell>
          <cell r="K101">
            <v>504500</v>
          </cell>
        </row>
        <row r="102">
          <cell r="J102">
            <v>0</v>
          </cell>
          <cell r="K102">
            <v>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0</v>
          </cell>
        </row>
        <row r="106">
          <cell r="J106">
            <v>0</v>
          </cell>
          <cell r="K106">
            <v>0</v>
          </cell>
        </row>
        <row r="107">
          <cell r="J107">
            <v>0</v>
          </cell>
          <cell r="K107">
            <v>0</v>
          </cell>
        </row>
        <row r="108">
          <cell r="J108">
            <v>0</v>
          </cell>
          <cell r="K108">
            <v>0</v>
          </cell>
        </row>
        <row r="109">
          <cell r="J109">
            <v>69000</v>
          </cell>
          <cell r="K109">
            <v>345000</v>
          </cell>
        </row>
        <row r="110">
          <cell r="J110">
            <v>0</v>
          </cell>
          <cell r="K110">
            <v>0</v>
          </cell>
        </row>
        <row r="111">
          <cell r="J111">
            <v>0</v>
          </cell>
          <cell r="K111">
            <v>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172100.00000000003</v>
          </cell>
          <cell r="K122">
            <v>860500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11085</v>
          </cell>
          <cell r="K127">
            <v>731500</v>
          </cell>
        </row>
        <row r="128">
          <cell r="J128">
            <v>0</v>
          </cell>
          <cell r="K128">
            <v>0</v>
          </cell>
        </row>
        <row r="129">
          <cell r="J129">
            <v>68100.000000000015</v>
          </cell>
          <cell r="K129">
            <v>340500</v>
          </cell>
        </row>
        <row r="130">
          <cell r="J130">
            <v>0</v>
          </cell>
          <cell r="K130">
            <v>0</v>
          </cell>
        </row>
        <row r="131">
          <cell r="J131">
            <v>0</v>
          </cell>
          <cell r="K131">
            <v>0</v>
          </cell>
        </row>
        <row r="132">
          <cell r="J132">
            <v>350400.00000000006</v>
          </cell>
          <cell r="K132">
            <v>1752000</v>
          </cell>
        </row>
        <row r="133">
          <cell r="J133">
            <v>0</v>
          </cell>
          <cell r="K133">
            <v>0</v>
          </cell>
        </row>
        <row r="134">
          <cell r="J134">
            <v>0</v>
          </cell>
          <cell r="K134">
            <v>0</v>
          </cell>
        </row>
      </sheetData>
      <sheetData sheetId="15"/>
      <sheetData sheetId="16">
        <row r="4">
          <cell r="J4">
            <v>7953400.0000000009</v>
          </cell>
          <cell r="K4">
            <v>39767000</v>
          </cell>
        </row>
        <row r="5">
          <cell r="J5">
            <v>0</v>
          </cell>
          <cell r="K5">
            <v>0</v>
          </cell>
        </row>
        <row r="6">
          <cell r="J6">
            <v>0</v>
          </cell>
          <cell r="K6">
            <v>-309000</v>
          </cell>
        </row>
        <row r="7">
          <cell r="J7">
            <v>0</v>
          </cell>
          <cell r="K7">
            <v>-266500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-250000</v>
          </cell>
        </row>
        <row r="10">
          <cell r="J10">
            <v>0</v>
          </cell>
          <cell r="K10">
            <v>-174000</v>
          </cell>
        </row>
        <row r="11">
          <cell r="J11">
            <v>32600</v>
          </cell>
          <cell r="K11">
            <v>163000</v>
          </cell>
        </row>
        <row r="12">
          <cell r="J12">
            <v>60600</v>
          </cell>
          <cell r="K12">
            <v>303000</v>
          </cell>
        </row>
        <row r="13">
          <cell r="J13">
            <v>0</v>
          </cell>
          <cell r="K13">
            <v>-1673500</v>
          </cell>
        </row>
        <row r="14">
          <cell r="J14">
            <v>0</v>
          </cell>
          <cell r="K14">
            <v>0</v>
          </cell>
        </row>
        <row r="15">
          <cell r="J15">
            <v>180300</v>
          </cell>
          <cell r="K15">
            <v>901500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-194000</v>
          </cell>
        </row>
        <row r="18">
          <cell r="J18">
            <v>0</v>
          </cell>
          <cell r="K18">
            <v>-39511</v>
          </cell>
        </row>
        <row r="19">
          <cell r="J19">
            <v>0</v>
          </cell>
          <cell r="K19">
            <v>-188500</v>
          </cell>
        </row>
        <row r="20">
          <cell r="J20">
            <v>87100.000000000015</v>
          </cell>
          <cell r="K20">
            <v>435500</v>
          </cell>
        </row>
        <row r="21">
          <cell r="J21">
            <v>0</v>
          </cell>
          <cell r="K21">
            <v>-46000</v>
          </cell>
        </row>
        <row r="22">
          <cell r="J22">
            <v>0</v>
          </cell>
          <cell r="K22">
            <v>111000</v>
          </cell>
        </row>
        <row r="23">
          <cell r="J23">
            <v>0</v>
          </cell>
          <cell r="K23">
            <v>-85000</v>
          </cell>
        </row>
        <row r="24">
          <cell r="J24">
            <v>0</v>
          </cell>
          <cell r="K24">
            <v>-51500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-193000</v>
          </cell>
        </row>
        <row r="27">
          <cell r="J27">
            <v>0</v>
          </cell>
          <cell r="K27">
            <v>0</v>
          </cell>
        </row>
        <row r="28">
          <cell r="J28">
            <v>133900</v>
          </cell>
          <cell r="K28">
            <v>669500</v>
          </cell>
        </row>
        <row r="29">
          <cell r="J29">
            <v>47600</v>
          </cell>
          <cell r="K29">
            <v>238000</v>
          </cell>
        </row>
        <row r="30">
          <cell r="J30">
            <v>0</v>
          </cell>
          <cell r="K30">
            <v>-101000</v>
          </cell>
        </row>
        <row r="31">
          <cell r="J31">
            <v>0</v>
          </cell>
          <cell r="K31">
            <v>-141500</v>
          </cell>
        </row>
        <row r="32">
          <cell r="J32">
            <v>0</v>
          </cell>
          <cell r="K32">
            <v>0</v>
          </cell>
        </row>
        <row r="33">
          <cell r="J33">
            <v>271500</v>
          </cell>
          <cell r="K33">
            <v>1357500</v>
          </cell>
        </row>
        <row r="34">
          <cell r="J34">
            <v>0</v>
          </cell>
          <cell r="K34">
            <v>-354500</v>
          </cell>
        </row>
        <row r="35"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-56500</v>
          </cell>
        </row>
        <row r="38">
          <cell r="J38">
            <v>0</v>
          </cell>
          <cell r="K38">
            <v>-138000</v>
          </cell>
        </row>
        <row r="39">
          <cell r="J39">
            <v>0</v>
          </cell>
          <cell r="K39">
            <v>-87000</v>
          </cell>
        </row>
        <row r="40">
          <cell r="J40">
            <v>0</v>
          </cell>
          <cell r="K40">
            <v>-86000</v>
          </cell>
        </row>
        <row r="41">
          <cell r="J41">
            <v>0</v>
          </cell>
          <cell r="K41">
            <v>-80000</v>
          </cell>
        </row>
        <row r="42">
          <cell r="J42">
            <v>0</v>
          </cell>
          <cell r="K42">
            <v>-145000</v>
          </cell>
        </row>
        <row r="43">
          <cell r="J43">
            <v>0</v>
          </cell>
          <cell r="K43">
            <v>-31500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-56500</v>
          </cell>
        </row>
        <row r="46">
          <cell r="J46">
            <v>0</v>
          </cell>
          <cell r="K46">
            <v>-349000</v>
          </cell>
        </row>
        <row r="47">
          <cell r="J47">
            <v>253300</v>
          </cell>
          <cell r="K47">
            <v>1266500</v>
          </cell>
        </row>
        <row r="48">
          <cell r="J48">
            <v>0</v>
          </cell>
          <cell r="K48">
            <v>-222500</v>
          </cell>
        </row>
        <row r="49">
          <cell r="J49">
            <v>0</v>
          </cell>
          <cell r="K49">
            <v>-199500</v>
          </cell>
        </row>
        <row r="50">
          <cell r="J50">
            <v>47800.000000000007</v>
          </cell>
          <cell r="K50">
            <v>239000</v>
          </cell>
        </row>
        <row r="51">
          <cell r="J51">
            <v>0</v>
          </cell>
          <cell r="K51">
            <v>-123500</v>
          </cell>
        </row>
        <row r="52">
          <cell r="J52">
            <v>0</v>
          </cell>
          <cell r="K52">
            <v>-145000</v>
          </cell>
        </row>
        <row r="53">
          <cell r="J53">
            <v>0</v>
          </cell>
          <cell r="K53">
            <v>-114000</v>
          </cell>
        </row>
        <row r="54">
          <cell r="J54">
            <v>0</v>
          </cell>
          <cell r="K54">
            <v>-54000</v>
          </cell>
        </row>
        <row r="55">
          <cell r="J55">
            <v>0</v>
          </cell>
          <cell r="K55">
            <v>-117000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-290500</v>
          </cell>
        </row>
        <row r="59">
          <cell r="J59">
            <v>1210500</v>
          </cell>
          <cell r="K59">
            <v>6052500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73600.000000000015</v>
          </cell>
          <cell r="K65">
            <v>368000</v>
          </cell>
        </row>
        <row r="66">
          <cell r="J66">
            <v>0</v>
          </cell>
          <cell r="K66">
            <v>-103000</v>
          </cell>
        </row>
        <row r="67">
          <cell r="J67">
            <v>0</v>
          </cell>
          <cell r="K67">
            <v>-227500</v>
          </cell>
        </row>
        <row r="68">
          <cell r="J68">
            <v>0</v>
          </cell>
          <cell r="K68">
            <v>-141500</v>
          </cell>
        </row>
        <row r="69">
          <cell r="J69">
            <v>0</v>
          </cell>
          <cell r="K69">
            <v>-181000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-172000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-63500</v>
          </cell>
        </row>
        <row r="76">
          <cell r="J76">
            <v>0</v>
          </cell>
          <cell r="K76">
            <v>-140000</v>
          </cell>
        </row>
        <row r="77">
          <cell r="J77">
            <v>0</v>
          </cell>
          <cell r="K77">
            <v>-575500</v>
          </cell>
        </row>
        <row r="78">
          <cell r="J78">
            <v>0</v>
          </cell>
          <cell r="K78">
            <v>263000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-165500</v>
          </cell>
        </row>
        <row r="82">
          <cell r="J82">
            <v>39000</v>
          </cell>
          <cell r="K82">
            <v>195000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-167000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-417000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-117000</v>
          </cell>
        </row>
        <row r="92">
          <cell r="J92">
            <v>61650.000000000015</v>
          </cell>
          <cell r="K92">
            <v>616500</v>
          </cell>
        </row>
        <row r="93">
          <cell r="J93">
            <v>0</v>
          </cell>
          <cell r="K93">
            <v>-221500</v>
          </cell>
        </row>
        <row r="94">
          <cell r="J94">
            <v>0</v>
          </cell>
          <cell r="K94">
            <v>-180000</v>
          </cell>
        </row>
        <row r="95">
          <cell r="J95">
            <v>0</v>
          </cell>
          <cell r="K95">
            <v>-401000</v>
          </cell>
        </row>
        <row r="96">
          <cell r="J96">
            <v>69100.000000000015</v>
          </cell>
          <cell r="K96">
            <v>345500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-80000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-491000</v>
          </cell>
        </row>
        <row r="101">
          <cell r="J101">
            <v>100900</v>
          </cell>
          <cell r="K101">
            <v>504500</v>
          </cell>
        </row>
        <row r="102">
          <cell r="J102">
            <v>0</v>
          </cell>
          <cell r="K102">
            <v>-110500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-1253000</v>
          </cell>
        </row>
        <row r="105">
          <cell r="J105">
            <v>0</v>
          </cell>
          <cell r="K105">
            <v>-635000</v>
          </cell>
        </row>
        <row r="106">
          <cell r="J106">
            <v>0</v>
          </cell>
          <cell r="K106">
            <v>-212500</v>
          </cell>
        </row>
        <row r="107">
          <cell r="J107">
            <v>0</v>
          </cell>
          <cell r="K107">
            <v>-245000</v>
          </cell>
        </row>
        <row r="108">
          <cell r="J108">
            <v>0</v>
          </cell>
          <cell r="K108">
            <v>704500</v>
          </cell>
        </row>
        <row r="109">
          <cell r="J109">
            <v>69000</v>
          </cell>
          <cell r="K109">
            <v>345000</v>
          </cell>
        </row>
        <row r="110">
          <cell r="J110">
            <v>0</v>
          </cell>
          <cell r="K110">
            <v>0</v>
          </cell>
        </row>
        <row r="111">
          <cell r="J111">
            <v>0</v>
          </cell>
          <cell r="K111">
            <v>0</v>
          </cell>
        </row>
        <row r="112">
          <cell r="J112">
            <v>0</v>
          </cell>
          <cell r="K112">
            <v>-401500</v>
          </cell>
        </row>
        <row r="113">
          <cell r="J113">
            <v>0</v>
          </cell>
          <cell r="K113">
            <v>-33500</v>
          </cell>
        </row>
        <row r="114">
          <cell r="J114">
            <v>0</v>
          </cell>
          <cell r="K114">
            <v>-112000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-166500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-194500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-273500</v>
          </cell>
        </row>
        <row r="122">
          <cell r="J122">
            <v>172100.00000000003</v>
          </cell>
          <cell r="K122">
            <v>860500</v>
          </cell>
        </row>
        <row r="123">
          <cell r="J123">
            <v>0</v>
          </cell>
          <cell r="K123">
            <v>-172000</v>
          </cell>
        </row>
        <row r="124">
          <cell r="J124">
            <v>0</v>
          </cell>
          <cell r="K124">
            <v>-187500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-422000</v>
          </cell>
        </row>
        <row r="127">
          <cell r="J127">
            <v>146300</v>
          </cell>
          <cell r="K127">
            <v>731500</v>
          </cell>
        </row>
        <row r="128">
          <cell r="J128">
            <v>0</v>
          </cell>
          <cell r="K128">
            <v>-217000</v>
          </cell>
        </row>
        <row r="129">
          <cell r="J129">
            <v>68100.000000000015</v>
          </cell>
          <cell r="K129">
            <v>340500</v>
          </cell>
        </row>
        <row r="130">
          <cell r="J130">
            <v>0</v>
          </cell>
          <cell r="K130">
            <v>-168500</v>
          </cell>
        </row>
        <row r="131">
          <cell r="J131">
            <v>0</v>
          </cell>
          <cell r="K131">
            <v>-49500</v>
          </cell>
        </row>
        <row r="132">
          <cell r="J132">
            <v>350400.00000000006</v>
          </cell>
          <cell r="K132">
            <v>1752000</v>
          </cell>
        </row>
        <row r="133">
          <cell r="J133">
            <v>0</v>
          </cell>
          <cell r="K133">
            <v>-137000</v>
          </cell>
        </row>
        <row r="134">
          <cell r="J134">
            <v>0</v>
          </cell>
          <cell r="K134">
            <v>-47000</v>
          </cell>
        </row>
      </sheetData>
      <sheetData sheetId="17"/>
      <sheetData sheetId="18">
        <row r="4">
          <cell r="J4">
            <v>7953400.0000000009</v>
          </cell>
          <cell r="K4">
            <v>39767000</v>
          </cell>
        </row>
        <row r="5">
          <cell r="J5">
            <v>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-7200</v>
          </cell>
        </row>
        <row r="11">
          <cell r="J11">
            <v>32600</v>
          </cell>
          <cell r="K11">
            <v>163000</v>
          </cell>
        </row>
        <row r="12">
          <cell r="J12">
            <v>60600</v>
          </cell>
          <cell r="K12">
            <v>303000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180300</v>
          </cell>
          <cell r="K15">
            <v>901500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-194000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87100.000000000015</v>
          </cell>
          <cell r="K20">
            <v>435500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111000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133900</v>
          </cell>
          <cell r="K28">
            <v>669500</v>
          </cell>
        </row>
        <row r="29">
          <cell r="J29">
            <v>47600</v>
          </cell>
          <cell r="K29">
            <v>238000</v>
          </cell>
        </row>
        <row r="30">
          <cell r="J30">
            <v>0</v>
          </cell>
          <cell r="K30">
            <v>-101000</v>
          </cell>
        </row>
        <row r="31">
          <cell r="J31">
            <v>0</v>
          </cell>
          <cell r="K31">
            <v>-141500</v>
          </cell>
        </row>
        <row r="32">
          <cell r="J32">
            <v>0</v>
          </cell>
          <cell r="K32">
            <v>0</v>
          </cell>
        </row>
        <row r="33">
          <cell r="J33">
            <v>271500</v>
          </cell>
          <cell r="K33">
            <v>1357500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-145000</v>
          </cell>
        </row>
        <row r="43">
          <cell r="J43">
            <v>0</v>
          </cell>
          <cell r="K43">
            <v>-31500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-349000</v>
          </cell>
        </row>
        <row r="47">
          <cell r="J47">
            <v>253300</v>
          </cell>
          <cell r="K47">
            <v>1266500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47800.000000000007</v>
          </cell>
          <cell r="K50">
            <v>239000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-145000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-117000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1210500</v>
          </cell>
          <cell r="K59">
            <v>6052500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73600.000000000015</v>
          </cell>
          <cell r="K65">
            <v>368000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-141500</v>
          </cell>
        </row>
        <row r="69">
          <cell r="J69">
            <v>0</v>
          </cell>
          <cell r="K69">
            <v>-181000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-172000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-140000</v>
          </cell>
        </row>
        <row r="77">
          <cell r="J77">
            <v>0</v>
          </cell>
          <cell r="K77">
            <v>0</v>
          </cell>
        </row>
        <row r="78">
          <cell r="J78">
            <v>0</v>
          </cell>
          <cell r="K78">
            <v>263000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39000</v>
          </cell>
          <cell r="K82">
            <v>195000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-417000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-117000</v>
          </cell>
        </row>
        <row r="92">
          <cell r="J92">
            <v>123300.00000000001</v>
          </cell>
          <cell r="K92">
            <v>616500</v>
          </cell>
        </row>
        <row r="93">
          <cell r="J93">
            <v>0</v>
          </cell>
          <cell r="K93">
            <v>-221500</v>
          </cell>
        </row>
        <row r="94">
          <cell r="J94">
            <v>0</v>
          </cell>
          <cell r="K94">
            <v>-109000</v>
          </cell>
        </row>
        <row r="95">
          <cell r="J95">
            <v>0</v>
          </cell>
          <cell r="K95">
            <v>-401000</v>
          </cell>
        </row>
        <row r="96">
          <cell r="J96">
            <v>69100.000000000015</v>
          </cell>
          <cell r="K96">
            <v>345500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100900</v>
          </cell>
          <cell r="K101">
            <v>504500</v>
          </cell>
        </row>
        <row r="102">
          <cell r="J102">
            <v>0</v>
          </cell>
          <cell r="K102">
            <v>-110500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-253000</v>
          </cell>
        </row>
        <row r="106">
          <cell r="J106">
            <v>0</v>
          </cell>
          <cell r="K106">
            <v>-212500</v>
          </cell>
        </row>
        <row r="107">
          <cell r="J107">
            <v>0</v>
          </cell>
          <cell r="K107">
            <v>0</v>
          </cell>
        </row>
        <row r="108">
          <cell r="J108">
            <v>0</v>
          </cell>
          <cell r="K108">
            <v>704500</v>
          </cell>
        </row>
        <row r="109">
          <cell r="J109">
            <v>69000</v>
          </cell>
          <cell r="K109">
            <v>345000</v>
          </cell>
        </row>
        <row r="110">
          <cell r="J110">
            <v>0</v>
          </cell>
          <cell r="K110">
            <v>0</v>
          </cell>
        </row>
        <row r="111">
          <cell r="J111">
            <v>0</v>
          </cell>
          <cell r="K111">
            <v>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-33500</v>
          </cell>
        </row>
        <row r="114">
          <cell r="J114">
            <v>0</v>
          </cell>
          <cell r="K114">
            <v>-112000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172100.00000000003</v>
          </cell>
          <cell r="K122">
            <v>860500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146300</v>
          </cell>
          <cell r="K127">
            <v>731500</v>
          </cell>
        </row>
        <row r="128">
          <cell r="J128">
            <v>0</v>
          </cell>
          <cell r="K128">
            <v>0</v>
          </cell>
        </row>
        <row r="129">
          <cell r="J129">
            <v>68100.000000000015</v>
          </cell>
          <cell r="K129">
            <v>340500</v>
          </cell>
        </row>
        <row r="130">
          <cell r="J130">
            <v>0</v>
          </cell>
          <cell r="K130">
            <v>-2700</v>
          </cell>
        </row>
        <row r="131">
          <cell r="J131">
            <v>0</v>
          </cell>
          <cell r="K131">
            <v>-49500</v>
          </cell>
        </row>
        <row r="132">
          <cell r="J132">
            <v>350400.00000000006</v>
          </cell>
          <cell r="K132">
            <v>1752000</v>
          </cell>
        </row>
        <row r="133">
          <cell r="J133">
            <v>0</v>
          </cell>
          <cell r="K133">
            <v>-137000</v>
          </cell>
        </row>
        <row r="134">
          <cell r="J134">
            <v>0</v>
          </cell>
          <cell r="K134">
            <v>-47000</v>
          </cell>
        </row>
      </sheetData>
      <sheetData sheetId="19"/>
      <sheetData sheetId="20">
        <row r="4">
          <cell r="J4">
            <v>7953400.0000000009</v>
          </cell>
          <cell r="K4">
            <v>39767000</v>
          </cell>
        </row>
        <row r="5">
          <cell r="J5">
            <v>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32600</v>
          </cell>
          <cell r="K11">
            <v>163000</v>
          </cell>
        </row>
        <row r="12">
          <cell r="J12">
            <v>60600</v>
          </cell>
          <cell r="K12">
            <v>303000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180300</v>
          </cell>
          <cell r="K15">
            <v>901500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0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87100.000000000015</v>
          </cell>
          <cell r="K20">
            <v>435500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111000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133900</v>
          </cell>
          <cell r="K28">
            <v>669500</v>
          </cell>
        </row>
        <row r="29">
          <cell r="J29">
            <v>47600</v>
          </cell>
          <cell r="K29">
            <v>238000</v>
          </cell>
        </row>
        <row r="30">
          <cell r="J30">
            <v>0</v>
          </cell>
          <cell r="K30">
            <v>-101000</v>
          </cell>
        </row>
        <row r="31"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J33">
            <v>271500</v>
          </cell>
          <cell r="K33">
            <v>1357500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-145000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253300</v>
          </cell>
          <cell r="K47">
            <v>1266500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47800.000000000007</v>
          </cell>
          <cell r="K50">
            <v>239000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-55800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1210500</v>
          </cell>
          <cell r="K59">
            <v>6052500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73600.000000000015</v>
          </cell>
          <cell r="K65">
            <v>368000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69">
          <cell r="J69">
            <v>0</v>
          </cell>
          <cell r="K69">
            <v>-181000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-140000</v>
          </cell>
        </row>
        <row r="77">
          <cell r="J77">
            <v>0</v>
          </cell>
          <cell r="K77">
            <v>0</v>
          </cell>
        </row>
        <row r="78">
          <cell r="J78">
            <v>0</v>
          </cell>
          <cell r="K78">
            <v>263000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39000</v>
          </cell>
          <cell r="K82">
            <v>195000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-117000</v>
          </cell>
        </row>
        <row r="92">
          <cell r="J92">
            <v>123300.00000000001</v>
          </cell>
          <cell r="K92">
            <v>616500</v>
          </cell>
        </row>
        <row r="93">
          <cell r="J93">
            <v>0</v>
          </cell>
          <cell r="K93">
            <v>-221500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69100.000000000015</v>
          </cell>
          <cell r="K96">
            <v>345500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100900</v>
          </cell>
          <cell r="K101">
            <v>504500</v>
          </cell>
        </row>
        <row r="102">
          <cell r="J102">
            <v>0</v>
          </cell>
          <cell r="K102">
            <v>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0</v>
          </cell>
        </row>
        <row r="106">
          <cell r="J106">
            <v>0</v>
          </cell>
          <cell r="K106">
            <v>0</v>
          </cell>
        </row>
        <row r="107">
          <cell r="J107">
            <v>0</v>
          </cell>
          <cell r="K107">
            <v>0</v>
          </cell>
        </row>
        <row r="108">
          <cell r="J108">
            <v>93933</v>
          </cell>
          <cell r="K108">
            <v>704500</v>
          </cell>
        </row>
        <row r="109">
          <cell r="J109">
            <v>69000</v>
          </cell>
          <cell r="K109">
            <v>345000</v>
          </cell>
        </row>
        <row r="110">
          <cell r="J110">
            <v>0</v>
          </cell>
          <cell r="K110">
            <v>0</v>
          </cell>
        </row>
        <row r="111">
          <cell r="J111">
            <v>0</v>
          </cell>
          <cell r="K111">
            <v>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-33500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172100.00000000003</v>
          </cell>
          <cell r="K122">
            <v>860500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146300</v>
          </cell>
          <cell r="K127">
            <v>731500</v>
          </cell>
        </row>
        <row r="128">
          <cell r="J128">
            <v>0</v>
          </cell>
          <cell r="K128">
            <v>0</v>
          </cell>
        </row>
        <row r="129">
          <cell r="J129">
            <v>68100.000000000015</v>
          </cell>
          <cell r="K129">
            <v>340500</v>
          </cell>
        </row>
        <row r="130">
          <cell r="J130">
            <v>0</v>
          </cell>
          <cell r="K130">
            <v>0</v>
          </cell>
        </row>
        <row r="131">
          <cell r="J131">
            <v>0</v>
          </cell>
          <cell r="K131">
            <v>0</v>
          </cell>
        </row>
        <row r="132">
          <cell r="J132">
            <v>350400.00000000006</v>
          </cell>
          <cell r="K132">
            <v>1752000</v>
          </cell>
        </row>
        <row r="133">
          <cell r="J133">
            <v>0</v>
          </cell>
          <cell r="K133">
            <v>-122600</v>
          </cell>
        </row>
        <row r="134">
          <cell r="J134">
            <v>0</v>
          </cell>
          <cell r="K134">
            <v>0</v>
          </cell>
        </row>
      </sheetData>
      <sheetData sheetId="21"/>
      <sheetData sheetId="22">
        <row r="4">
          <cell r="G4">
            <v>7953400.0000000009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32600</v>
          </cell>
        </row>
        <row r="12">
          <cell r="G12">
            <v>60600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180300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87100.000000000015</v>
          </cell>
        </row>
        <row r="21">
          <cell r="G21">
            <v>0</v>
          </cell>
        </row>
        <row r="22">
          <cell r="G22">
            <v>22200.000000000004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133900</v>
          </cell>
        </row>
        <row r="29">
          <cell r="G29">
            <v>47600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271500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253300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47800.000000000007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1210500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73600.000000000015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26300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39000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123300.00000000001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69100.000000000015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100900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140900</v>
          </cell>
        </row>
        <row r="109">
          <cell r="G109">
            <v>69000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172100.00000000003</v>
          </cell>
        </row>
        <row r="123">
          <cell r="G123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146300</v>
          </cell>
        </row>
        <row r="128">
          <cell r="G128">
            <v>0</v>
          </cell>
        </row>
        <row r="129">
          <cell r="G129">
            <v>68100.000000000015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350400.00000000006</v>
          </cell>
        </row>
        <row r="133">
          <cell r="G133">
            <v>0</v>
          </cell>
        </row>
        <row r="134">
          <cell r="G134">
            <v>0</v>
          </cell>
        </row>
      </sheetData>
      <sheetData sheetId="23"/>
      <sheetData sheetId="24">
        <row r="4">
          <cell r="G4">
            <v>7953400.0000000009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32600</v>
          </cell>
        </row>
        <row r="12">
          <cell r="G12">
            <v>60600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180300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87100.000000000015</v>
          </cell>
        </row>
        <row r="21">
          <cell r="G21">
            <v>0</v>
          </cell>
        </row>
        <row r="22">
          <cell r="G22">
            <v>22200.000000000004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133900</v>
          </cell>
        </row>
        <row r="29">
          <cell r="G29">
            <v>47600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271500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253300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47800.000000000007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1210500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73600.000000000015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52600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39000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123300.00000000001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69100.000000000015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100900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140900</v>
          </cell>
        </row>
        <row r="109">
          <cell r="G109">
            <v>69000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172100.00000000003</v>
          </cell>
        </row>
        <row r="123">
          <cell r="G123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146300</v>
          </cell>
        </row>
        <row r="128">
          <cell r="G128">
            <v>0</v>
          </cell>
        </row>
        <row r="129">
          <cell r="G129">
            <v>68100.000000000015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350400.00000000006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11706100</v>
          </cell>
        </row>
      </sheetData>
      <sheetData sheetId="25"/>
      <sheetData sheetId="26">
        <row r="4">
          <cell r="G4">
            <v>7953400.0000000009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32600</v>
          </cell>
        </row>
        <row r="12">
          <cell r="G12">
            <v>60600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180300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87100.000000000015</v>
          </cell>
        </row>
        <row r="21">
          <cell r="G21">
            <v>0</v>
          </cell>
        </row>
        <row r="22">
          <cell r="G22">
            <v>22200.000000000004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133900</v>
          </cell>
        </row>
        <row r="29">
          <cell r="G29">
            <v>47600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271500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253300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47800.000000000007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1210500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73600.000000000015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52600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39000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123300.00000000001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69100.000000000015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100900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140900</v>
          </cell>
        </row>
        <row r="109">
          <cell r="G109">
            <v>69000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172100.00000000003</v>
          </cell>
        </row>
        <row r="123">
          <cell r="G123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146300</v>
          </cell>
        </row>
        <row r="128">
          <cell r="G128">
            <v>0</v>
          </cell>
        </row>
        <row r="129">
          <cell r="G129">
            <v>68100.000000000015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350400.00000000006</v>
          </cell>
        </row>
        <row r="133">
          <cell r="G133">
            <v>0</v>
          </cell>
        </row>
        <row r="134">
          <cell r="G134">
            <v>0</v>
          </cell>
        </row>
      </sheetData>
      <sheetData sheetId="27"/>
      <sheetData sheetId="28">
        <row r="4">
          <cell r="G4">
            <v>7953400.0000000009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32600</v>
          </cell>
        </row>
        <row r="12">
          <cell r="G12">
            <v>60600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180300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87100.000000000015</v>
          </cell>
        </row>
        <row r="21">
          <cell r="G21">
            <v>0</v>
          </cell>
        </row>
        <row r="22">
          <cell r="G22">
            <v>22200.000000000004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133900</v>
          </cell>
        </row>
        <row r="29">
          <cell r="G29">
            <v>47600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271500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253300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47800.000000000007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1210500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73600.000000000015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52600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39000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123300.00000000001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69100.000000000015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100900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140900</v>
          </cell>
        </row>
        <row r="109">
          <cell r="G109">
            <v>69000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172100.00000000003</v>
          </cell>
        </row>
        <row r="123">
          <cell r="G123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146300</v>
          </cell>
        </row>
        <row r="128">
          <cell r="G128">
            <v>0</v>
          </cell>
        </row>
        <row r="129">
          <cell r="G129">
            <v>68100.000000000015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350400.00000000006</v>
          </cell>
        </row>
        <row r="133">
          <cell r="G133">
            <v>0</v>
          </cell>
        </row>
        <row r="134">
          <cell r="G134">
            <v>0</v>
          </cell>
        </row>
      </sheetData>
      <sheetData sheetId="29"/>
      <sheetData sheetId="30"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</sheetData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0"/>
  <sheetViews>
    <sheetView topLeftCell="A4" workbookViewId="0">
      <selection activeCell="J15" sqref="J15"/>
    </sheetView>
  </sheetViews>
  <sheetFormatPr defaultColWidth="9.140625" defaultRowHeight="15.75" x14ac:dyDescent="0.25"/>
  <cols>
    <col min="1" max="1" width="5.7109375" style="66" customWidth="1"/>
    <col min="2" max="2" width="47.28515625" style="66" customWidth="1"/>
    <col min="3" max="3" width="15.42578125" style="66" customWidth="1"/>
    <col min="4" max="4" width="16.5703125" style="66" customWidth="1"/>
    <col min="5" max="5" width="7.140625" style="66" customWidth="1"/>
    <col min="6" max="6" width="50.140625" style="66" customWidth="1"/>
    <col min="7" max="7" width="15.5703125" style="66" customWidth="1"/>
    <col min="8" max="8" width="17.7109375" style="66" customWidth="1"/>
    <col min="9" max="9" width="12" style="68" customWidth="1"/>
    <col min="10" max="10" width="73.85546875" style="66" customWidth="1"/>
    <col min="11" max="13" width="23.140625" style="66" customWidth="1"/>
    <col min="14" max="14" width="27" style="66" customWidth="1"/>
    <col min="15" max="15" width="15.5703125" style="66" customWidth="1"/>
    <col min="16" max="16" width="19.28515625" style="66" bestFit="1" customWidth="1"/>
    <col min="17" max="17" width="15" style="66" customWidth="1"/>
    <col min="18" max="16384" width="9.140625" style="66"/>
  </cols>
  <sheetData>
    <row r="1" spans="1:17" ht="29.25" customHeight="1" x14ac:dyDescent="0.25">
      <c r="B1" s="1008" t="s">
        <v>222</v>
      </c>
      <c r="C1" s="1009"/>
      <c r="D1" s="1009"/>
      <c r="E1" s="1009"/>
      <c r="F1" s="1009"/>
      <c r="G1" s="1009"/>
      <c r="H1"/>
      <c r="I1" s="66"/>
      <c r="J1" s="1010"/>
      <c r="K1" s="1011"/>
      <c r="L1" s="1011"/>
      <c r="M1" s="1011"/>
      <c r="N1" s="1011"/>
    </row>
    <row r="2" spans="1:17" ht="36" customHeight="1" x14ac:dyDescent="0.25">
      <c r="B2" s="1008" t="s">
        <v>878</v>
      </c>
      <c r="C2" s="1008"/>
      <c r="D2" s="484"/>
      <c r="E2" s="1008" t="s">
        <v>879</v>
      </c>
      <c r="F2" s="1009"/>
      <c r="G2" s="1009"/>
      <c r="H2"/>
      <c r="I2" s="66"/>
      <c r="J2" s="1010"/>
      <c r="K2" s="1010"/>
      <c r="L2"/>
      <c r="M2" s="1010"/>
      <c r="N2" s="1010"/>
    </row>
    <row r="3" spans="1:17" ht="16.5" thickBot="1" x14ac:dyDescent="0.3">
      <c r="A3" s="574"/>
      <c r="B3" s="541"/>
      <c r="C3" s="541"/>
      <c r="D3" s="541"/>
      <c r="E3" s="542"/>
      <c r="F3" s="541"/>
      <c r="G3" s="541"/>
      <c r="I3" s="67"/>
      <c r="L3" s="68"/>
    </row>
    <row r="4" spans="1:17" ht="25.15" customHeight="1" thickBot="1" x14ac:dyDescent="0.3">
      <c r="A4" s="575"/>
      <c r="B4" s="584" t="s">
        <v>183</v>
      </c>
      <c r="C4" s="575" t="s">
        <v>683</v>
      </c>
      <c r="D4" s="543" t="s">
        <v>880</v>
      </c>
      <c r="E4" s="544"/>
      <c r="F4" s="585" t="s">
        <v>184</v>
      </c>
      <c r="G4" s="575" t="s">
        <v>223</v>
      </c>
      <c r="H4" s="545" t="s">
        <v>881</v>
      </c>
      <c r="I4" s="72"/>
      <c r="J4" s="268"/>
      <c r="K4" s="269"/>
      <c r="L4" s="268"/>
      <c r="M4" s="268"/>
      <c r="N4" s="269"/>
    </row>
    <row r="5" spans="1:17" ht="20.100000000000001" customHeight="1" x14ac:dyDescent="0.25">
      <c r="A5" s="576"/>
      <c r="B5" s="582"/>
      <c r="C5" s="576" t="s">
        <v>682</v>
      </c>
      <c r="D5" s="547"/>
      <c r="E5" s="548"/>
      <c r="F5" s="546"/>
      <c r="G5" s="576" t="s">
        <v>500</v>
      </c>
      <c r="H5" s="69"/>
      <c r="I5" s="72"/>
      <c r="K5" s="269"/>
      <c r="L5" s="268"/>
      <c r="N5" s="269"/>
    </row>
    <row r="6" spans="1:17" ht="24" customHeight="1" thickBot="1" x14ac:dyDescent="0.3">
      <c r="A6" s="577"/>
      <c r="B6" s="583"/>
      <c r="C6" s="586" t="s">
        <v>185</v>
      </c>
      <c r="D6" s="550"/>
      <c r="E6" s="551"/>
      <c r="F6" s="549"/>
      <c r="G6" s="586" t="s">
        <v>186</v>
      </c>
      <c r="H6" s="70"/>
      <c r="I6" s="72"/>
      <c r="K6" s="270"/>
      <c r="L6" s="268"/>
      <c r="N6" s="270"/>
      <c r="O6" s="71"/>
    </row>
    <row r="7" spans="1:17" ht="24" customHeight="1" x14ac:dyDescent="0.25">
      <c r="A7" s="576"/>
      <c r="B7" s="552" t="s">
        <v>187</v>
      </c>
      <c r="C7" s="587"/>
      <c r="D7" s="587"/>
      <c r="E7" s="548"/>
      <c r="F7" s="553" t="s">
        <v>188</v>
      </c>
      <c r="G7" s="587"/>
      <c r="H7" s="592"/>
      <c r="I7" s="72"/>
      <c r="J7" s="269"/>
      <c r="K7" s="271"/>
      <c r="L7" s="268"/>
      <c r="M7" s="269"/>
      <c r="N7" s="271"/>
      <c r="O7" s="71"/>
    </row>
    <row r="8" spans="1:17" ht="24" customHeight="1" x14ac:dyDescent="0.25">
      <c r="A8" s="578" t="s">
        <v>171</v>
      </c>
      <c r="B8" s="554" t="s">
        <v>189</v>
      </c>
      <c r="C8" s="988">
        <f>'1.bevételek össz'!H19+'1.bevételek össz'!H8</f>
        <v>120321</v>
      </c>
      <c r="D8" s="988">
        <f>'1.bevételek össz'!I19+'1.bevételek össz'!I8</f>
        <v>36515</v>
      </c>
      <c r="E8" s="555" t="s">
        <v>173</v>
      </c>
      <c r="F8" s="554" t="s">
        <v>190</v>
      </c>
      <c r="G8" s="590">
        <f>'3.kiadások össz'!H5</f>
        <v>32081</v>
      </c>
      <c r="H8" s="590">
        <f>'3.kiadások össz'!I5</f>
        <v>24732</v>
      </c>
      <c r="I8" s="280"/>
      <c r="J8" s="272"/>
      <c r="K8" s="73"/>
      <c r="L8" s="278"/>
      <c r="M8" s="272"/>
      <c r="N8" s="73"/>
      <c r="O8" s="73"/>
      <c r="P8" s="73"/>
      <c r="Q8" s="73"/>
    </row>
    <row r="9" spans="1:17" ht="57.75" customHeight="1" x14ac:dyDescent="0.25">
      <c r="A9" s="579" t="s">
        <v>191</v>
      </c>
      <c r="B9" s="556" t="s">
        <v>192</v>
      </c>
      <c r="C9" s="588"/>
      <c r="D9" s="588"/>
      <c r="E9" s="557" t="s">
        <v>174</v>
      </c>
      <c r="F9" s="558" t="s">
        <v>193</v>
      </c>
      <c r="G9" s="593">
        <f>'3.kiadások össz'!H6</f>
        <v>4231</v>
      </c>
      <c r="H9" s="593">
        <f>'3.kiadások össz'!I6</f>
        <v>2444</v>
      </c>
      <c r="I9" s="280"/>
      <c r="J9" s="272"/>
      <c r="K9" s="73"/>
      <c r="L9" s="278"/>
      <c r="M9" s="273"/>
      <c r="N9" s="73"/>
      <c r="O9" s="73"/>
      <c r="P9" s="73"/>
      <c r="Q9" s="73"/>
    </row>
    <row r="10" spans="1:17" ht="24" customHeight="1" x14ac:dyDescent="0.25">
      <c r="A10" s="578" t="s">
        <v>169</v>
      </c>
      <c r="B10" s="554" t="s">
        <v>194</v>
      </c>
      <c r="C10" s="588">
        <f>'1.bevételek össz'!H6+'1.bevételek össz'!H7+'1.bevételek össz'!H11+'1.bevételek össz'!H13+'1.bevételek össz'!H24</f>
        <v>242090</v>
      </c>
      <c r="D10" s="588">
        <f>'1.bevételek össz'!I6+'1.bevételek össz'!I7+'1.bevételek össz'!I11+'1.bevételek össz'!I13</f>
        <v>296046</v>
      </c>
      <c r="E10" s="557" t="s">
        <v>175</v>
      </c>
      <c r="F10" s="556" t="s">
        <v>195</v>
      </c>
      <c r="G10" s="593">
        <f>'3.kiadások össz'!H7+'3.kiadások össz'!H8+'3.kiadások össz'!H9+'3.kiadások össz'!H10</f>
        <v>90437</v>
      </c>
      <c r="H10" s="593">
        <f>'3.kiadások össz'!I7+'3.kiadások össz'!I8+'3.kiadások össz'!I9+'3.kiadások össz'!I10</f>
        <v>55133</v>
      </c>
      <c r="I10" s="280"/>
      <c r="J10" s="272"/>
      <c r="K10" s="73"/>
      <c r="L10" s="278"/>
      <c r="M10" s="272"/>
      <c r="N10" s="73"/>
      <c r="O10" s="73"/>
      <c r="P10" s="73"/>
      <c r="Q10" s="73"/>
    </row>
    <row r="11" spans="1:17" ht="24" customHeight="1" x14ac:dyDescent="0.25">
      <c r="A11" s="579" t="s">
        <v>196</v>
      </c>
      <c r="B11" s="556" t="s">
        <v>197</v>
      </c>
      <c r="C11" s="588"/>
      <c r="D11" s="590"/>
      <c r="E11" s="559" t="s">
        <v>198</v>
      </c>
      <c r="F11" s="560" t="s">
        <v>199</v>
      </c>
      <c r="G11" s="593"/>
      <c r="H11" s="581"/>
      <c r="I11" s="280"/>
      <c r="J11" s="272"/>
      <c r="K11" s="73"/>
      <c r="L11" s="278"/>
      <c r="M11" s="272"/>
      <c r="N11" s="73"/>
      <c r="O11" s="73"/>
      <c r="P11" s="73"/>
      <c r="Q11" s="73"/>
    </row>
    <row r="12" spans="1:17" ht="24" customHeight="1" thickBot="1" x14ac:dyDescent="0.3">
      <c r="A12" s="578"/>
      <c r="B12" s="554"/>
      <c r="C12" s="589"/>
      <c r="D12" s="588"/>
      <c r="E12" s="557" t="s">
        <v>200</v>
      </c>
      <c r="F12" s="556" t="s">
        <v>501</v>
      </c>
      <c r="G12" s="589">
        <f>'3.kiadások össz'!H18+'3.kiadások össz'!H19+'3.kiadások össz'!H30+'3.kiadások össz'!H29+'3.kiadások össz'!H13</f>
        <v>653483</v>
      </c>
      <c r="H12" s="589">
        <f>'3.kiadások össz'!I13</f>
        <v>55815</v>
      </c>
      <c r="I12" s="280"/>
      <c r="J12" s="272"/>
      <c r="K12" s="73"/>
      <c r="L12" s="278"/>
      <c r="M12" s="272"/>
      <c r="N12" s="73"/>
      <c r="O12" s="73"/>
      <c r="P12" s="73"/>
      <c r="Q12" s="73"/>
    </row>
    <row r="13" spans="1:17" ht="24" customHeight="1" thickBot="1" x14ac:dyDescent="0.3">
      <c r="A13" s="563"/>
      <c r="B13" s="561" t="s">
        <v>201</v>
      </c>
      <c r="C13" s="562">
        <f>SUM(C8:C12)</f>
        <v>362411</v>
      </c>
      <c r="D13" s="562">
        <f>SUM(D8:D12)</f>
        <v>332561</v>
      </c>
      <c r="E13" s="563"/>
      <c r="F13" s="561" t="s">
        <v>202</v>
      </c>
      <c r="G13" s="562">
        <f>SUM(G8:G12)</f>
        <v>780232</v>
      </c>
      <c r="H13" s="562">
        <f>SUM(H8:H12)</f>
        <v>138124</v>
      </c>
      <c r="I13" s="280"/>
      <c r="J13" s="274"/>
      <c r="K13" s="275"/>
      <c r="L13" s="279"/>
      <c r="M13" s="274"/>
      <c r="N13" s="275"/>
      <c r="O13" s="73"/>
      <c r="P13" s="73"/>
      <c r="Q13" s="73"/>
    </row>
    <row r="14" spans="1:17" s="74" customFormat="1" ht="24" customHeight="1" x14ac:dyDescent="0.25">
      <c r="A14" s="578" t="s">
        <v>170</v>
      </c>
      <c r="B14" s="556" t="s">
        <v>203</v>
      </c>
      <c r="C14" s="988">
        <f>'1.bevételek össz'!H31+'1.bevételek össz'!H27</f>
        <v>252735</v>
      </c>
      <c r="D14" s="988">
        <f>'1.bevételek össz'!I31+'1.bevételek össz'!I27</f>
        <v>24881</v>
      </c>
      <c r="E14" s="564" t="s">
        <v>176</v>
      </c>
      <c r="F14" s="565" t="s">
        <v>204</v>
      </c>
      <c r="G14" s="595">
        <f>'3.kiadások össz'!H21+'3.kiadások össz'!H22</f>
        <v>1336</v>
      </c>
      <c r="H14" s="595">
        <f>'3.kiadások össz'!I21+'3.kiadások össz'!I22</f>
        <v>521</v>
      </c>
      <c r="I14" s="280"/>
      <c r="J14" s="272"/>
      <c r="K14" s="73"/>
      <c r="L14" s="278"/>
      <c r="M14" s="272"/>
      <c r="N14" s="73"/>
      <c r="O14" s="73"/>
      <c r="P14" s="73"/>
      <c r="Q14" s="73"/>
    </row>
    <row r="15" spans="1:17" ht="24" customHeight="1" x14ac:dyDescent="0.25">
      <c r="A15" s="578" t="s">
        <v>205</v>
      </c>
      <c r="B15" s="556" t="s">
        <v>206</v>
      </c>
      <c r="C15" s="588"/>
      <c r="D15" s="588"/>
      <c r="E15" s="566" t="s">
        <v>207</v>
      </c>
      <c r="F15" s="556" t="s">
        <v>208</v>
      </c>
      <c r="G15" s="594"/>
      <c r="H15" s="588"/>
      <c r="I15" s="280"/>
      <c r="J15" s="272"/>
      <c r="K15" s="73"/>
      <c r="L15" s="278"/>
      <c r="M15" s="272"/>
      <c r="N15" s="73"/>
      <c r="O15" s="73"/>
      <c r="P15" s="73"/>
      <c r="Q15" s="73"/>
    </row>
    <row r="16" spans="1:17" ht="24" customHeight="1" thickBot="1" x14ac:dyDescent="0.3">
      <c r="A16" s="578" t="s">
        <v>209</v>
      </c>
      <c r="B16" s="556" t="s">
        <v>210</v>
      </c>
      <c r="C16" s="588"/>
      <c r="D16" s="590"/>
      <c r="E16" s="559" t="s">
        <v>211</v>
      </c>
      <c r="F16" s="567" t="s">
        <v>212</v>
      </c>
      <c r="G16" s="590">
        <f>'3.kiadások össz'!H26</f>
        <v>0</v>
      </c>
      <c r="H16" s="814">
        <f>'3.kiadások össz'!I26</f>
        <v>0</v>
      </c>
      <c r="I16" s="280"/>
      <c r="J16" s="272"/>
      <c r="K16" s="73"/>
      <c r="L16" s="278"/>
      <c r="M16" s="272"/>
      <c r="N16" s="73"/>
      <c r="O16" s="73"/>
      <c r="P16" s="73"/>
      <c r="Q16" s="73"/>
    </row>
    <row r="17" spans="1:16" ht="24" customHeight="1" thickBot="1" x14ac:dyDescent="0.3">
      <c r="A17" s="563"/>
      <c r="B17" s="561" t="s">
        <v>213</v>
      </c>
      <c r="C17" s="562">
        <f>SUM(C14:C16)</f>
        <v>252735</v>
      </c>
      <c r="D17" s="562">
        <f>SUM(D14:D16)</f>
        <v>24881</v>
      </c>
      <c r="E17" s="563"/>
      <c r="F17" s="568" t="s">
        <v>214</v>
      </c>
      <c r="G17" s="562">
        <f>SUM(G14:G16)</f>
        <v>1336</v>
      </c>
      <c r="H17" s="562">
        <f>SUM(H14:H16)</f>
        <v>521</v>
      </c>
      <c r="I17" s="280"/>
      <c r="J17" s="274"/>
      <c r="K17" s="275"/>
      <c r="L17" s="279"/>
      <c r="M17" s="276"/>
      <c r="N17" s="275"/>
      <c r="O17" s="73"/>
      <c r="P17" s="73"/>
    </row>
    <row r="18" spans="1:16" ht="24" customHeight="1" thickBot="1" x14ac:dyDescent="0.3">
      <c r="A18" s="563"/>
      <c r="B18" s="568" t="s">
        <v>215</v>
      </c>
      <c r="C18" s="562">
        <f>C13+C17</f>
        <v>615146</v>
      </c>
      <c r="D18" s="562">
        <f>D13+D17</f>
        <v>357442</v>
      </c>
      <c r="E18" s="563"/>
      <c r="F18" s="561" t="s">
        <v>216</v>
      </c>
      <c r="G18" s="562">
        <f>SUM(G17,G13)</f>
        <v>781568</v>
      </c>
      <c r="H18" s="562">
        <f>SUM(H17,H13)</f>
        <v>138645</v>
      </c>
      <c r="I18" s="280"/>
      <c r="J18" s="276"/>
      <c r="K18" s="275"/>
      <c r="L18" s="279"/>
      <c r="M18" s="274"/>
      <c r="N18" s="275"/>
      <c r="O18" s="73"/>
      <c r="P18" s="73"/>
    </row>
    <row r="19" spans="1:16" ht="24" customHeight="1" thickBot="1" x14ac:dyDescent="0.3">
      <c r="A19" s="580" t="s">
        <v>172</v>
      </c>
      <c r="B19" s="569" t="s">
        <v>217</v>
      </c>
      <c r="C19" s="591">
        <f>'1.bevételek össz'!H39+'1.bevételek össz'!H40</f>
        <v>1366422</v>
      </c>
      <c r="D19" s="591">
        <f>'1.bevételek össz'!I39+'1.bevételek össz'!I40+'1.bevételek össz'!I24</f>
        <v>5003984</v>
      </c>
      <c r="E19" s="570" t="s">
        <v>218</v>
      </c>
      <c r="F19" s="571" t="s">
        <v>219</v>
      </c>
      <c r="G19" s="594">
        <f>'3.kiadások össz'!H32+'3.kiadások össz'!H35+'3.kiadások össz'!H33</f>
        <v>1200000</v>
      </c>
      <c r="H19" s="590">
        <f>'3.kiadások össz'!I32+'3.kiadások össz'!I35+'3.kiadások össz'!I33</f>
        <v>3600000</v>
      </c>
      <c r="I19" s="280"/>
      <c r="J19" s="276"/>
      <c r="K19" s="73"/>
      <c r="L19" s="278"/>
      <c r="M19" s="276"/>
      <c r="N19" s="73"/>
      <c r="O19" s="73"/>
      <c r="P19" s="73"/>
    </row>
    <row r="20" spans="1:16" ht="49.5" customHeight="1" thickBot="1" x14ac:dyDescent="0.3">
      <c r="A20" s="563"/>
      <c r="B20" s="572" t="s">
        <v>220</v>
      </c>
      <c r="C20" s="562">
        <f>SUM(C18:C19)</f>
        <v>1981568</v>
      </c>
      <c r="D20" s="562">
        <f>SUM(D18:D19)</f>
        <v>5361426</v>
      </c>
      <c r="E20" s="573"/>
      <c r="F20" s="572" t="s">
        <v>221</v>
      </c>
      <c r="G20" s="562">
        <f>SUM(G18:G19)</f>
        <v>1981568</v>
      </c>
      <c r="H20" s="562">
        <f>SUM(H18:H19)</f>
        <v>3738645</v>
      </c>
      <c r="I20" s="267"/>
      <c r="J20" s="277"/>
      <c r="K20" s="75"/>
      <c r="L20" s="278"/>
      <c r="M20" s="277"/>
      <c r="N20" s="75"/>
      <c r="O20" s="73"/>
      <c r="P20" s="73"/>
    </row>
    <row r="21" spans="1:16" ht="24" customHeight="1" x14ac:dyDescent="0.25">
      <c r="A21" s="581"/>
      <c r="B21" s="541"/>
      <c r="C21" s="541"/>
      <c r="D21" s="541"/>
      <c r="E21" s="541"/>
      <c r="F21" s="541"/>
      <c r="G21" s="541"/>
      <c r="I21" s="75"/>
      <c r="N21" s="73"/>
      <c r="O21" s="73"/>
      <c r="P21" s="201"/>
    </row>
    <row r="22" spans="1:16" ht="24" customHeight="1" x14ac:dyDescent="0.25">
      <c r="A22" s="581"/>
      <c r="B22" s="541"/>
      <c r="C22" s="541"/>
      <c r="D22" s="541"/>
      <c r="E22" s="541"/>
      <c r="F22" s="541"/>
      <c r="G22" s="541"/>
      <c r="I22" s="75"/>
      <c r="P22" s="201"/>
    </row>
    <row r="23" spans="1:16" ht="24" customHeight="1" x14ac:dyDescent="0.25">
      <c r="A23" s="581"/>
      <c r="B23" s="541"/>
      <c r="C23" s="541"/>
      <c r="D23" s="541"/>
      <c r="E23" s="541"/>
      <c r="F23" s="541"/>
      <c r="G23" s="541"/>
      <c r="P23" s="201"/>
    </row>
    <row r="24" spans="1:16" ht="24" customHeight="1" x14ac:dyDescent="0.25">
      <c r="A24" s="581"/>
      <c r="B24" s="541"/>
      <c r="C24" s="541"/>
      <c r="D24" s="541"/>
      <c r="E24" s="541"/>
      <c r="F24" s="541"/>
      <c r="G24" s="541"/>
      <c r="I24" s="75"/>
    </row>
    <row r="25" spans="1:16" ht="24" customHeight="1" x14ac:dyDescent="0.25">
      <c r="A25" s="581"/>
      <c r="B25" s="541"/>
      <c r="C25" s="541"/>
      <c r="D25" s="541"/>
      <c r="E25" s="541"/>
      <c r="F25" s="541"/>
      <c r="G25" s="541"/>
      <c r="I25" s="75"/>
    </row>
    <row r="26" spans="1:16" ht="24" customHeight="1" x14ac:dyDescent="0.25">
      <c r="A26" s="581"/>
      <c r="B26" s="541"/>
      <c r="C26" s="541"/>
      <c r="D26" s="541"/>
      <c r="E26" s="541"/>
      <c r="F26" s="541"/>
      <c r="G26" s="541"/>
    </row>
    <row r="27" spans="1:16" ht="24" customHeight="1" x14ac:dyDescent="0.25">
      <c r="B27" s="541"/>
      <c r="C27" s="541"/>
      <c r="D27" s="541"/>
      <c r="E27" s="541"/>
      <c r="F27" s="541"/>
      <c r="G27" s="541"/>
    </row>
    <row r="28" spans="1:16" ht="24" customHeight="1" x14ac:dyDescent="0.25">
      <c r="B28" s="541"/>
      <c r="C28" s="541"/>
      <c r="D28" s="541"/>
      <c r="E28" s="541"/>
      <c r="F28" s="541"/>
      <c r="G28" s="541"/>
    </row>
    <row r="29" spans="1:16" ht="24" customHeight="1" x14ac:dyDescent="0.25">
      <c r="B29" s="541"/>
      <c r="C29" s="541"/>
      <c r="D29" s="541"/>
      <c r="E29" s="541"/>
      <c r="F29" s="541"/>
      <c r="G29" s="541"/>
    </row>
    <row r="30" spans="1:16" ht="24" customHeight="1" x14ac:dyDescent="0.25"/>
  </sheetData>
  <mergeCells count="6">
    <mergeCell ref="B1:G1"/>
    <mergeCell ref="J1:N1"/>
    <mergeCell ref="B2:C2"/>
    <mergeCell ref="J2:K2"/>
    <mergeCell ref="M2:N2"/>
    <mergeCell ref="E2:G2"/>
  </mergeCells>
  <phoneticPr fontId="30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97"/>
  <sheetViews>
    <sheetView tabSelected="1" topLeftCell="B13" workbookViewId="0">
      <selection activeCell="B12" sqref="B12"/>
    </sheetView>
  </sheetViews>
  <sheetFormatPr defaultRowHeight="12.75" x14ac:dyDescent="0.2"/>
  <cols>
    <col min="2" max="2" width="101.85546875" customWidth="1"/>
    <col min="3" max="3" width="19.5703125" hidden="1" customWidth="1"/>
    <col min="4" max="4" width="23.28515625" hidden="1" customWidth="1"/>
    <col min="5" max="5" width="21.28515625" customWidth="1"/>
    <col min="6" max="6" width="21.42578125" customWidth="1"/>
    <col min="7" max="7" width="23.5703125" customWidth="1"/>
    <col min="8" max="8" width="20" customWidth="1"/>
    <col min="9" max="9" width="18.7109375" customWidth="1"/>
    <col min="12" max="12" width="10" bestFit="1" customWidth="1"/>
    <col min="13" max="14" width="17.28515625" bestFit="1" customWidth="1"/>
    <col min="256" max="256" width="101.85546875" customWidth="1"/>
    <col min="257" max="258" width="0" hidden="1" customWidth="1"/>
    <col min="259" max="259" width="23.28515625" customWidth="1"/>
    <col min="260" max="260" width="22.7109375" customWidth="1"/>
    <col min="261" max="263" width="25" customWidth="1"/>
    <col min="264" max="264" width="19" customWidth="1"/>
    <col min="512" max="512" width="101.85546875" customWidth="1"/>
    <col min="513" max="514" width="0" hidden="1" customWidth="1"/>
    <col min="515" max="515" width="23.28515625" customWidth="1"/>
    <col min="516" max="516" width="22.7109375" customWidth="1"/>
    <col min="517" max="519" width="25" customWidth="1"/>
    <col min="520" max="520" width="19" customWidth="1"/>
    <col min="768" max="768" width="101.85546875" customWidth="1"/>
    <col min="769" max="770" width="0" hidden="1" customWidth="1"/>
    <col min="771" max="771" width="23.28515625" customWidth="1"/>
    <col min="772" max="772" width="22.7109375" customWidth="1"/>
    <col min="773" max="775" width="25" customWidth="1"/>
    <col min="776" max="776" width="19" customWidth="1"/>
    <col min="1024" max="1024" width="101.85546875" customWidth="1"/>
    <col min="1025" max="1026" width="0" hidden="1" customWidth="1"/>
    <col min="1027" max="1027" width="23.28515625" customWidth="1"/>
    <col min="1028" max="1028" width="22.7109375" customWidth="1"/>
    <col min="1029" max="1031" width="25" customWidth="1"/>
    <col min="1032" max="1032" width="19" customWidth="1"/>
    <col min="1280" max="1280" width="101.85546875" customWidth="1"/>
    <col min="1281" max="1282" width="0" hidden="1" customWidth="1"/>
    <col min="1283" max="1283" width="23.28515625" customWidth="1"/>
    <col min="1284" max="1284" width="22.7109375" customWidth="1"/>
    <col min="1285" max="1287" width="25" customWidth="1"/>
    <col min="1288" max="1288" width="19" customWidth="1"/>
    <col min="1536" max="1536" width="101.85546875" customWidth="1"/>
    <col min="1537" max="1538" width="0" hidden="1" customWidth="1"/>
    <col min="1539" max="1539" width="23.28515625" customWidth="1"/>
    <col min="1540" max="1540" width="22.7109375" customWidth="1"/>
    <col min="1541" max="1543" width="25" customWidth="1"/>
    <col min="1544" max="1544" width="19" customWidth="1"/>
    <col min="1792" max="1792" width="101.85546875" customWidth="1"/>
    <col min="1793" max="1794" width="0" hidden="1" customWidth="1"/>
    <col min="1795" max="1795" width="23.28515625" customWidth="1"/>
    <col min="1796" max="1796" width="22.7109375" customWidth="1"/>
    <col min="1797" max="1799" width="25" customWidth="1"/>
    <col min="1800" max="1800" width="19" customWidth="1"/>
    <col min="2048" max="2048" width="101.85546875" customWidth="1"/>
    <col min="2049" max="2050" width="0" hidden="1" customWidth="1"/>
    <col min="2051" max="2051" width="23.28515625" customWidth="1"/>
    <col min="2052" max="2052" width="22.7109375" customWidth="1"/>
    <col min="2053" max="2055" width="25" customWidth="1"/>
    <col min="2056" max="2056" width="19" customWidth="1"/>
    <col min="2304" max="2304" width="101.85546875" customWidth="1"/>
    <col min="2305" max="2306" width="0" hidden="1" customWidth="1"/>
    <col min="2307" max="2307" width="23.28515625" customWidth="1"/>
    <col min="2308" max="2308" width="22.7109375" customWidth="1"/>
    <col min="2309" max="2311" width="25" customWidth="1"/>
    <col min="2312" max="2312" width="19" customWidth="1"/>
    <col min="2560" max="2560" width="101.85546875" customWidth="1"/>
    <col min="2561" max="2562" width="0" hidden="1" customWidth="1"/>
    <col min="2563" max="2563" width="23.28515625" customWidth="1"/>
    <col min="2564" max="2564" width="22.7109375" customWidth="1"/>
    <col min="2565" max="2567" width="25" customWidth="1"/>
    <col min="2568" max="2568" width="19" customWidth="1"/>
    <col min="2816" max="2816" width="101.85546875" customWidth="1"/>
    <col min="2817" max="2818" width="0" hidden="1" customWidth="1"/>
    <col min="2819" max="2819" width="23.28515625" customWidth="1"/>
    <col min="2820" max="2820" width="22.7109375" customWidth="1"/>
    <col min="2821" max="2823" width="25" customWidth="1"/>
    <col min="2824" max="2824" width="19" customWidth="1"/>
    <col min="3072" max="3072" width="101.85546875" customWidth="1"/>
    <col min="3073" max="3074" width="0" hidden="1" customWidth="1"/>
    <col min="3075" max="3075" width="23.28515625" customWidth="1"/>
    <col min="3076" max="3076" width="22.7109375" customWidth="1"/>
    <col min="3077" max="3079" width="25" customWidth="1"/>
    <col min="3080" max="3080" width="19" customWidth="1"/>
    <col min="3328" max="3328" width="101.85546875" customWidth="1"/>
    <col min="3329" max="3330" width="0" hidden="1" customWidth="1"/>
    <col min="3331" max="3331" width="23.28515625" customWidth="1"/>
    <col min="3332" max="3332" width="22.7109375" customWidth="1"/>
    <col min="3333" max="3335" width="25" customWidth="1"/>
    <col min="3336" max="3336" width="19" customWidth="1"/>
    <col min="3584" max="3584" width="101.85546875" customWidth="1"/>
    <col min="3585" max="3586" width="0" hidden="1" customWidth="1"/>
    <col min="3587" max="3587" width="23.28515625" customWidth="1"/>
    <col min="3588" max="3588" width="22.7109375" customWidth="1"/>
    <col min="3589" max="3591" width="25" customWidth="1"/>
    <col min="3592" max="3592" width="19" customWidth="1"/>
    <col min="3840" max="3840" width="101.85546875" customWidth="1"/>
    <col min="3841" max="3842" width="0" hidden="1" customWidth="1"/>
    <col min="3843" max="3843" width="23.28515625" customWidth="1"/>
    <col min="3844" max="3844" width="22.7109375" customWidth="1"/>
    <col min="3845" max="3847" width="25" customWidth="1"/>
    <col min="3848" max="3848" width="19" customWidth="1"/>
    <col min="4096" max="4096" width="101.85546875" customWidth="1"/>
    <col min="4097" max="4098" width="0" hidden="1" customWidth="1"/>
    <col min="4099" max="4099" width="23.28515625" customWidth="1"/>
    <col min="4100" max="4100" width="22.7109375" customWidth="1"/>
    <col min="4101" max="4103" width="25" customWidth="1"/>
    <col min="4104" max="4104" width="19" customWidth="1"/>
    <col min="4352" max="4352" width="101.85546875" customWidth="1"/>
    <col min="4353" max="4354" width="0" hidden="1" customWidth="1"/>
    <col min="4355" max="4355" width="23.28515625" customWidth="1"/>
    <col min="4356" max="4356" width="22.7109375" customWidth="1"/>
    <col min="4357" max="4359" width="25" customWidth="1"/>
    <col min="4360" max="4360" width="19" customWidth="1"/>
    <col min="4608" max="4608" width="101.85546875" customWidth="1"/>
    <col min="4609" max="4610" width="0" hidden="1" customWidth="1"/>
    <col min="4611" max="4611" width="23.28515625" customWidth="1"/>
    <col min="4612" max="4612" width="22.7109375" customWidth="1"/>
    <col min="4613" max="4615" width="25" customWidth="1"/>
    <col min="4616" max="4616" width="19" customWidth="1"/>
    <col min="4864" max="4864" width="101.85546875" customWidth="1"/>
    <col min="4865" max="4866" width="0" hidden="1" customWidth="1"/>
    <col min="4867" max="4867" width="23.28515625" customWidth="1"/>
    <col min="4868" max="4868" width="22.7109375" customWidth="1"/>
    <col min="4869" max="4871" width="25" customWidth="1"/>
    <col min="4872" max="4872" width="19" customWidth="1"/>
    <col min="5120" max="5120" width="101.85546875" customWidth="1"/>
    <col min="5121" max="5122" width="0" hidden="1" customWidth="1"/>
    <col min="5123" max="5123" width="23.28515625" customWidth="1"/>
    <col min="5124" max="5124" width="22.7109375" customWidth="1"/>
    <col min="5125" max="5127" width="25" customWidth="1"/>
    <col min="5128" max="5128" width="19" customWidth="1"/>
    <col min="5376" max="5376" width="101.85546875" customWidth="1"/>
    <col min="5377" max="5378" width="0" hidden="1" customWidth="1"/>
    <col min="5379" max="5379" width="23.28515625" customWidth="1"/>
    <col min="5380" max="5380" width="22.7109375" customWidth="1"/>
    <col min="5381" max="5383" width="25" customWidth="1"/>
    <col min="5384" max="5384" width="19" customWidth="1"/>
    <col min="5632" max="5632" width="101.85546875" customWidth="1"/>
    <col min="5633" max="5634" width="0" hidden="1" customWidth="1"/>
    <col min="5635" max="5635" width="23.28515625" customWidth="1"/>
    <col min="5636" max="5636" width="22.7109375" customWidth="1"/>
    <col min="5637" max="5639" width="25" customWidth="1"/>
    <col min="5640" max="5640" width="19" customWidth="1"/>
    <col min="5888" max="5888" width="101.85546875" customWidth="1"/>
    <col min="5889" max="5890" width="0" hidden="1" customWidth="1"/>
    <col min="5891" max="5891" width="23.28515625" customWidth="1"/>
    <col min="5892" max="5892" width="22.7109375" customWidth="1"/>
    <col min="5893" max="5895" width="25" customWidth="1"/>
    <col min="5896" max="5896" width="19" customWidth="1"/>
    <col min="6144" max="6144" width="101.85546875" customWidth="1"/>
    <col min="6145" max="6146" width="0" hidden="1" customWidth="1"/>
    <col min="6147" max="6147" width="23.28515625" customWidth="1"/>
    <col min="6148" max="6148" width="22.7109375" customWidth="1"/>
    <col min="6149" max="6151" width="25" customWidth="1"/>
    <col min="6152" max="6152" width="19" customWidth="1"/>
    <col min="6400" max="6400" width="101.85546875" customWidth="1"/>
    <col min="6401" max="6402" width="0" hidden="1" customWidth="1"/>
    <col min="6403" max="6403" width="23.28515625" customWidth="1"/>
    <col min="6404" max="6404" width="22.7109375" customWidth="1"/>
    <col min="6405" max="6407" width="25" customWidth="1"/>
    <col min="6408" max="6408" width="19" customWidth="1"/>
    <col min="6656" max="6656" width="101.85546875" customWidth="1"/>
    <col min="6657" max="6658" width="0" hidden="1" customWidth="1"/>
    <col min="6659" max="6659" width="23.28515625" customWidth="1"/>
    <col min="6660" max="6660" width="22.7109375" customWidth="1"/>
    <col min="6661" max="6663" width="25" customWidth="1"/>
    <col min="6664" max="6664" width="19" customWidth="1"/>
    <col min="6912" max="6912" width="101.85546875" customWidth="1"/>
    <col min="6913" max="6914" width="0" hidden="1" customWidth="1"/>
    <col min="6915" max="6915" width="23.28515625" customWidth="1"/>
    <col min="6916" max="6916" width="22.7109375" customWidth="1"/>
    <col min="6917" max="6919" width="25" customWidth="1"/>
    <col min="6920" max="6920" width="19" customWidth="1"/>
    <col min="7168" max="7168" width="101.85546875" customWidth="1"/>
    <col min="7169" max="7170" width="0" hidden="1" customWidth="1"/>
    <col min="7171" max="7171" width="23.28515625" customWidth="1"/>
    <col min="7172" max="7172" width="22.7109375" customWidth="1"/>
    <col min="7173" max="7175" width="25" customWidth="1"/>
    <col min="7176" max="7176" width="19" customWidth="1"/>
    <col min="7424" max="7424" width="101.85546875" customWidth="1"/>
    <col min="7425" max="7426" width="0" hidden="1" customWidth="1"/>
    <col min="7427" max="7427" width="23.28515625" customWidth="1"/>
    <col min="7428" max="7428" width="22.7109375" customWidth="1"/>
    <col min="7429" max="7431" width="25" customWidth="1"/>
    <col min="7432" max="7432" width="19" customWidth="1"/>
    <col min="7680" max="7680" width="101.85546875" customWidth="1"/>
    <col min="7681" max="7682" width="0" hidden="1" customWidth="1"/>
    <col min="7683" max="7683" width="23.28515625" customWidth="1"/>
    <col min="7684" max="7684" width="22.7109375" customWidth="1"/>
    <col min="7685" max="7687" width="25" customWidth="1"/>
    <col min="7688" max="7688" width="19" customWidth="1"/>
    <col min="7936" max="7936" width="101.85546875" customWidth="1"/>
    <col min="7937" max="7938" width="0" hidden="1" customWidth="1"/>
    <col min="7939" max="7939" width="23.28515625" customWidth="1"/>
    <col min="7940" max="7940" width="22.7109375" customWidth="1"/>
    <col min="7941" max="7943" width="25" customWidth="1"/>
    <col min="7944" max="7944" width="19" customWidth="1"/>
    <col min="8192" max="8192" width="101.85546875" customWidth="1"/>
    <col min="8193" max="8194" width="0" hidden="1" customWidth="1"/>
    <col min="8195" max="8195" width="23.28515625" customWidth="1"/>
    <col min="8196" max="8196" width="22.7109375" customWidth="1"/>
    <col min="8197" max="8199" width="25" customWidth="1"/>
    <col min="8200" max="8200" width="19" customWidth="1"/>
    <col min="8448" max="8448" width="101.85546875" customWidth="1"/>
    <col min="8449" max="8450" width="0" hidden="1" customWidth="1"/>
    <col min="8451" max="8451" width="23.28515625" customWidth="1"/>
    <col min="8452" max="8452" width="22.7109375" customWidth="1"/>
    <col min="8453" max="8455" width="25" customWidth="1"/>
    <col min="8456" max="8456" width="19" customWidth="1"/>
    <col min="8704" max="8704" width="101.85546875" customWidth="1"/>
    <col min="8705" max="8706" width="0" hidden="1" customWidth="1"/>
    <col min="8707" max="8707" width="23.28515625" customWidth="1"/>
    <col min="8708" max="8708" width="22.7109375" customWidth="1"/>
    <col min="8709" max="8711" width="25" customWidth="1"/>
    <col min="8712" max="8712" width="19" customWidth="1"/>
    <col min="8960" max="8960" width="101.85546875" customWidth="1"/>
    <col min="8961" max="8962" width="0" hidden="1" customWidth="1"/>
    <col min="8963" max="8963" width="23.28515625" customWidth="1"/>
    <col min="8964" max="8964" width="22.7109375" customWidth="1"/>
    <col min="8965" max="8967" width="25" customWidth="1"/>
    <col min="8968" max="8968" width="19" customWidth="1"/>
    <col min="9216" max="9216" width="101.85546875" customWidth="1"/>
    <col min="9217" max="9218" width="0" hidden="1" customWidth="1"/>
    <col min="9219" max="9219" width="23.28515625" customWidth="1"/>
    <col min="9220" max="9220" width="22.7109375" customWidth="1"/>
    <col min="9221" max="9223" width="25" customWidth="1"/>
    <col min="9224" max="9224" width="19" customWidth="1"/>
    <col min="9472" max="9472" width="101.85546875" customWidth="1"/>
    <col min="9473" max="9474" width="0" hidden="1" customWidth="1"/>
    <col min="9475" max="9475" width="23.28515625" customWidth="1"/>
    <col min="9476" max="9476" width="22.7109375" customWidth="1"/>
    <col min="9477" max="9479" width="25" customWidth="1"/>
    <col min="9480" max="9480" width="19" customWidth="1"/>
    <col min="9728" max="9728" width="101.85546875" customWidth="1"/>
    <col min="9729" max="9730" width="0" hidden="1" customWidth="1"/>
    <col min="9731" max="9731" width="23.28515625" customWidth="1"/>
    <col min="9732" max="9732" width="22.7109375" customWidth="1"/>
    <col min="9733" max="9735" width="25" customWidth="1"/>
    <col min="9736" max="9736" width="19" customWidth="1"/>
    <col min="9984" max="9984" width="101.85546875" customWidth="1"/>
    <col min="9985" max="9986" width="0" hidden="1" customWidth="1"/>
    <col min="9987" max="9987" width="23.28515625" customWidth="1"/>
    <col min="9988" max="9988" width="22.7109375" customWidth="1"/>
    <col min="9989" max="9991" width="25" customWidth="1"/>
    <col min="9992" max="9992" width="19" customWidth="1"/>
    <col min="10240" max="10240" width="101.85546875" customWidth="1"/>
    <col min="10241" max="10242" width="0" hidden="1" customWidth="1"/>
    <col min="10243" max="10243" width="23.28515625" customWidth="1"/>
    <col min="10244" max="10244" width="22.7109375" customWidth="1"/>
    <col min="10245" max="10247" width="25" customWidth="1"/>
    <col min="10248" max="10248" width="19" customWidth="1"/>
    <col min="10496" max="10496" width="101.85546875" customWidth="1"/>
    <col min="10497" max="10498" width="0" hidden="1" customWidth="1"/>
    <col min="10499" max="10499" width="23.28515625" customWidth="1"/>
    <col min="10500" max="10500" width="22.7109375" customWidth="1"/>
    <col min="10501" max="10503" width="25" customWidth="1"/>
    <col min="10504" max="10504" width="19" customWidth="1"/>
    <col min="10752" max="10752" width="101.85546875" customWidth="1"/>
    <col min="10753" max="10754" width="0" hidden="1" customWidth="1"/>
    <col min="10755" max="10755" width="23.28515625" customWidth="1"/>
    <col min="10756" max="10756" width="22.7109375" customWidth="1"/>
    <col min="10757" max="10759" width="25" customWidth="1"/>
    <col min="10760" max="10760" width="19" customWidth="1"/>
    <col min="11008" max="11008" width="101.85546875" customWidth="1"/>
    <col min="11009" max="11010" width="0" hidden="1" customWidth="1"/>
    <col min="11011" max="11011" width="23.28515625" customWidth="1"/>
    <col min="11012" max="11012" width="22.7109375" customWidth="1"/>
    <col min="11013" max="11015" width="25" customWidth="1"/>
    <col min="11016" max="11016" width="19" customWidth="1"/>
    <col min="11264" max="11264" width="101.85546875" customWidth="1"/>
    <col min="11265" max="11266" width="0" hidden="1" customWidth="1"/>
    <col min="11267" max="11267" width="23.28515625" customWidth="1"/>
    <col min="11268" max="11268" width="22.7109375" customWidth="1"/>
    <col min="11269" max="11271" width="25" customWidth="1"/>
    <col min="11272" max="11272" width="19" customWidth="1"/>
    <col min="11520" max="11520" width="101.85546875" customWidth="1"/>
    <col min="11521" max="11522" width="0" hidden="1" customWidth="1"/>
    <col min="11523" max="11523" width="23.28515625" customWidth="1"/>
    <col min="11524" max="11524" width="22.7109375" customWidth="1"/>
    <col min="11525" max="11527" width="25" customWidth="1"/>
    <col min="11528" max="11528" width="19" customWidth="1"/>
    <col min="11776" max="11776" width="101.85546875" customWidth="1"/>
    <col min="11777" max="11778" width="0" hidden="1" customWidth="1"/>
    <col min="11779" max="11779" width="23.28515625" customWidth="1"/>
    <col min="11780" max="11780" width="22.7109375" customWidth="1"/>
    <col min="11781" max="11783" width="25" customWidth="1"/>
    <col min="11784" max="11784" width="19" customWidth="1"/>
    <col min="12032" max="12032" width="101.85546875" customWidth="1"/>
    <col min="12033" max="12034" width="0" hidden="1" customWidth="1"/>
    <col min="12035" max="12035" width="23.28515625" customWidth="1"/>
    <col min="12036" max="12036" width="22.7109375" customWidth="1"/>
    <col min="12037" max="12039" width="25" customWidth="1"/>
    <col min="12040" max="12040" width="19" customWidth="1"/>
    <col min="12288" max="12288" width="101.85546875" customWidth="1"/>
    <col min="12289" max="12290" width="0" hidden="1" customWidth="1"/>
    <col min="12291" max="12291" width="23.28515625" customWidth="1"/>
    <col min="12292" max="12292" width="22.7109375" customWidth="1"/>
    <col min="12293" max="12295" width="25" customWidth="1"/>
    <col min="12296" max="12296" width="19" customWidth="1"/>
    <col min="12544" max="12544" width="101.85546875" customWidth="1"/>
    <col min="12545" max="12546" width="0" hidden="1" customWidth="1"/>
    <col min="12547" max="12547" width="23.28515625" customWidth="1"/>
    <col min="12548" max="12548" width="22.7109375" customWidth="1"/>
    <col min="12549" max="12551" width="25" customWidth="1"/>
    <col min="12552" max="12552" width="19" customWidth="1"/>
    <col min="12800" max="12800" width="101.85546875" customWidth="1"/>
    <col min="12801" max="12802" width="0" hidden="1" customWidth="1"/>
    <col min="12803" max="12803" width="23.28515625" customWidth="1"/>
    <col min="12804" max="12804" width="22.7109375" customWidth="1"/>
    <col min="12805" max="12807" width="25" customWidth="1"/>
    <col min="12808" max="12808" width="19" customWidth="1"/>
    <col min="13056" max="13056" width="101.85546875" customWidth="1"/>
    <col min="13057" max="13058" width="0" hidden="1" customWidth="1"/>
    <col min="13059" max="13059" width="23.28515625" customWidth="1"/>
    <col min="13060" max="13060" width="22.7109375" customWidth="1"/>
    <col min="13061" max="13063" width="25" customWidth="1"/>
    <col min="13064" max="13064" width="19" customWidth="1"/>
    <col min="13312" max="13312" width="101.85546875" customWidth="1"/>
    <col min="13313" max="13314" width="0" hidden="1" customWidth="1"/>
    <col min="13315" max="13315" width="23.28515625" customWidth="1"/>
    <col min="13316" max="13316" width="22.7109375" customWidth="1"/>
    <col min="13317" max="13319" width="25" customWidth="1"/>
    <col min="13320" max="13320" width="19" customWidth="1"/>
    <col min="13568" max="13568" width="101.85546875" customWidth="1"/>
    <col min="13569" max="13570" width="0" hidden="1" customWidth="1"/>
    <col min="13571" max="13571" width="23.28515625" customWidth="1"/>
    <col min="13572" max="13572" width="22.7109375" customWidth="1"/>
    <col min="13573" max="13575" width="25" customWidth="1"/>
    <col min="13576" max="13576" width="19" customWidth="1"/>
    <col min="13824" max="13824" width="101.85546875" customWidth="1"/>
    <col min="13825" max="13826" width="0" hidden="1" customWidth="1"/>
    <col min="13827" max="13827" width="23.28515625" customWidth="1"/>
    <col min="13828" max="13828" width="22.7109375" customWidth="1"/>
    <col min="13829" max="13831" width="25" customWidth="1"/>
    <col min="13832" max="13832" width="19" customWidth="1"/>
    <col min="14080" max="14080" width="101.85546875" customWidth="1"/>
    <col min="14081" max="14082" width="0" hidden="1" customWidth="1"/>
    <col min="14083" max="14083" width="23.28515625" customWidth="1"/>
    <col min="14084" max="14084" width="22.7109375" customWidth="1"/>
    <col min="14085" max="14087" width="25" customWidth="1"/>
    <col min="14088" max="14088" width="19" customWidth="1"/>
    <col min="14336" max="14336" width="101.85546875" customWidth="1"/>
    <col min="14337" max="14338" width="0" hidden="1" customWidth="1"/>
    <col min="14339" max="14339" width="23.28515625" customWidth="1"/>
    <col min="14340" max="14340" width="22.7109375" customWidth="1"/>
    <col min="14341" max="14343" width="25" customWidth="1"/>
    <col min="14344" max="14344" width="19" customWidth="1"/>
    <col min="14592" max="14592" width="101.85546875" customWidth="1"/>
    <col min="14593" max="14594" width="0" hidden="1" customWidth="1"/>
    <col min="14595" max="14595" width="23.28515625" customWidth="1"/>
    <col min="14596" max="14596" width="22.7109375" customWidth="1"/>
    <col min="14597" max="14599" width="25" customWidth="1"/>
    <col min="14600" max="14600" width="19" customWidth="1"/>
    <col min="14848" max="14848" width="101.85546875" customWidth="1"/>
    <col min="14849" max="14850" width="0" hidden="1" customWidth="1"/>
    <col min="14851" max="14851" width="23.28515625" customWidth="1"/>
    <col min="14852" max="14852" width="22.7109375" customWidth="1"/>
    <col min="14853" max="14855" width="25" customWidth="1"/>
    <col min="14856" max="14856" width="19" customWidth="1"/>
    <col min="15104" max="15104" width="101.85546875" customWidth="1"/>
    <col min="15105" max="15106" width="0" hidden="1" customWidth="1"/>
    <col min="15107" max="15107" width="23.28515625" customWidth="1"/>
    <col min="15108" max="15108" width="22.7109375" customWidth="1"/>
    <col min="15109" max="15111" width="25" customWidth="1"/>
    <col min="15112" max="15112" width="19" customWidth="1"/>
    <col min="15360" max="15360" width="101.85546875" customWidth="1"/>
    <col min="15361" max="15362" width="0" hidden="1" customWidth="1"/>
    <col min="15363" max="15363" width="23.28515625" customWidth="1"/>
    <col min="15364" max="15364" width="22.7109375" customWidth="1"/>
    <col min="15365" max="15367" width="25" customWidth="1"/>
    <col min="15368" max="15368" width="19" customWidth="1"/>
    <col min="15616" max="15616" width="101.85546875" customWidth="1"/>
    <col min="15617" max="15618" width="0" hidden="1" customWidth="1"/>
    <col min="15619" max="15619" width="23.28515625" customWidth="1"/>
    <col min="15620" max="15620" width="22.7109375" customWidth="1"/>
    <col min="15621" max="15623" width="25" customWidth="1"/>
    <col min="15624" max="15624" width="19" customWidth="1"/>
    <col min="15872" max="15872" width="101.85546875" customWidth="1"/>
    <col min="15873" max="15874" width="0" hidden="1" customWidth="1"/>
    <col min="15875" max="15875" width="23.28515625" customWidth="1"/>
    <col min="15876" max="15876" width="22.7109375" customWidth="1"/>
    <col min="15877" max="15879" width="25" customWidth="1"/>
    <col min="15880" max="15880" width="19" customWidth="1"/>
    <col min="16128" max="16128" width="101.85546875" customWidth="1"/>
    <col min="16129" max="16130" width="0" hidden="1" customWidth="1"/>
    <col min="16131" max="16131" width="23.28515625" customWidth="1"/>
    <col min="16132" max="16132" width="22.7109375" customWidth="1"/>
    <col min="16133" max="16135" width="25" customWidth="1"/>
    <col min="16136" max="16136" width="19" customWidth="1"/>
  </cols>
  <sheetData>
    <row r="1" spans="1:10" ht="18" customHeight="1" x14ac:dyDescent="0.25">
      <c r="A1" s="1012" t="s">
        <v>136</v>
      </c>
      <c r="B1" s="1011"/>
      <c r="C1" s="1011"/>
      <c r="D1" s="1011"/>
      <c r="E1" s="1011"/>
      <c r="F1" s="1011"/>
      <c r="G1" s="1011"/>
      <c r="H1" s="1011"/>
    </row>
    <row r="2" spans="1:10" ht="21" customHeight="1" x14ac:dyDescent="0.25">
      <c r="A2" s="1012" t="s">
        <v>799</v>
      </c>
      <c r="B2" s="1011"/>
      <c r="C2" s="1011"/>
      <c r="D2" s="1011"/>
      <c r="E2" s="1011"/>
      <c r="F2" s="1011"/>
      <c r="G2" s="1011"/>
      <c r="H2" s="1011"/>
    </row>
    <row r="3" spans="1:10" ht="18.75" thickBot="1" x14ac:dyDescent="0.3">
      <c r="B3" s="184"/>
      <c r="C3" s="183"/>
      <c r="D3" s="183"/>
    </row>
    <row r="4" spans="1:10" ht="78.75" customHeight="1" thickBot="1" x14ac:dyDescent="0.3">
      <c r="A4" s="953"/>
      <c r="B4" s="410" t="s">
        <v>140</v>
      </c>
      <c r="C4" s="932"/>
      <c r="D4" s="932"/>
      <c r="E4" s="957" t="s">
        <v>798</v>
      </c>
      <c r="F4" s="958" t="s">
        <v>800</v>
      </c>
      <c r="G4" s="418" t="s">
        <v>801</v>
      </c>
      <c r="H4" s="959" t="s">
        <v>802</v>
      </c>
      <c r="I4" s="804" t="s">
        <v>791</v>
      </c>
    </row>
    <row r="5" spans="1:10" ht="18" x14ac:dyDescent="0.25">
      <c r="A5" s="202" t="s">
        <v>191</v>
      </c>
      <c r="B5" s="954" t="s">
        <v>34</v>
      </c>
      <c r="E5" s="196"/>
      <c r="F5" s="955"/>
      <c r="G5" s="295"/>
      <c r="H5" s="956"/>
      <c r="I5" s="196"/>
      <c r="J5" s="376"/>
    </row>
    <row r="6" spans="1:10" ht="18" x14ac:dyDescent="0.25">
      <c r="A6" s="202" t="s">
        <v>169</v>
      </c>
      <c r="B6" s="206" t="s">
        <v>124</v>
      </c>
      <c r="E6" s="945"/>
      <c r="F6" s="933"/>
      <c r="G6" s="204"/>
      <c r="H6" s="377">
        <f>F6+G6</f>
        <v>0</v>
      </c>
      <c r="I6" s="384"/>
      <c r="J6" s="376"/>
    </row>
    <row r="7" spans="1:10" ht="18" x14ac:dyDescent="0.25">
      <c r="A7" s="202" t="s">
        <v>169</v>
      </c>
      <c r="B7" s="206" t="s">
        <v>405</v>
      </c>
      <c r="E7" s="945">
        <v>37800</v>
      </c>
      <c r="F7" s="933">
        <v>43483</v>
      </c>
      <c r="G7" s="204"/>
      <c r="H7" s="377">
        <f t="shared" ref="H7:H19" si="0">F7+G7</f>
        <v>43483</v>
      </c>
      <c r="I7" s="384">
        <v>44874</v>
      </c>
      <c r="J7" s="376"/>
    </row>
    <row r="8" spans="1:10" ht="18" x14ac:dyDescent="0.25">
      <c r="A8" s="202" t="s">
        <v>171</v>
      </c>
      <c r="B8" s="206" t="s">
        <v>35</v>
      </c>
      <c r="E8" s="945">
        <v>116838</v>
      </c>
      <c r="F8" s="933">
        <v>120321</v>
      </c>
      <c r="G8" s="204"/>
      <c r="H8" s="377">
        <f t="shared" si="0"/>
        <v>120321</v>
      </c>
      <c r="I8" s="384">
        <v>36515</v>
      </c>
      <c r="J8" s="376"/>
    </row>
    <row r="9" spans="1:10" ht="18" x14ac:dyDescent="0.25">
      <c r="A9" s="202"/>
      <c r="B9" s="206" t="s">
        <v>2</v>
      </c>
      <c r="E9" s="945"/>
      <c r="F9" s="933"/>
      <c r="G9" s="204"/>
      <c r="H9" s="377">
        <f t="shared" si="0"/>
        <v>0</v>
      </c>
      <c r="I9" s="384"/>
      <c r="J9" s="376"/>
    </row>
    <row r="10" spans="1:10" ht="18" x14ac:dyDescent="0.25">
      <c r="A10" s="202" t="s">
        <v>169</v>
      </c>
      <c r="B10" s="206" t="s">
        <v>156</v>
      </c>
      <c r="E10" s="945"/>
      <c r="F10" s="933"/>
      <c r="G10" s="204"/>
      <c r="H10" s="377">
        <f t="shared" si="0"/>
        <v>0</v>
      </c>
      <c r="I10" s="384"/>
      <c r="J10" s="376"/>
    </row>
    <row r="11" spans="1:10" ht="18" x14ac:dyDescent="0.25">
      <c r="A11" s="202" t="s">
        <v>169</v>
      </c>
      <c r="B11" s="206" t="s">
        <v>882</v>
      </c>
      <c r="E11" s="945">
        <v>140000</v>
      </c>
      <c r="F11" s="933">
        <v>161045</v>
      </c>
      <c r="G11" s="204"/>
      <c r="H11" s="377">
        <f t="shared" si="0"/>
        <v>161045</v>
      </c>
      <c r="I11" s="384">
        <v>166201</v>
      </c>
      <c r="J11" s="376"/>
    </row>
    <row r="12" spans="1:10" ht="18" x14ac:dyDescent="0.25">
      <c r="A12" s="202"/>
      <c r="B12" s="206" t="s">
        <v>740</v>
      </c>
      <c r="E12" s="945"/>
      <c r="F12" s="934"/>
      <c r="G12" s="204"/>
      <c r="H12" s="377">
        <f t="shared" si="0"/>
        <v>0</v>
      </c>
      <c r="I12" s="384"/>
      <c r="J12" s="376"/>
    </row>
    <row r="13" spans="1:10" ht="18" x14ac:dyDescent="0.25">
      <c r="A13" s="202"/>
      <c r="B13" s="207" t="s">
        <v>792</v>
      </c>
      <c r="E13" s="945"/>
      <c r="F13" s="934"/>
      <c r="G13" s="204"/>
      <c r="H13" s="377">
        <f t="shared" si="0"/>
        <v>0</v>
      </c>
      <c r="I13" s="384">
        <v>84971</v>
      </c>
      <c r="J13" s="376"/>
    </row>
    <row r="14" spans="1:10" ht="15.75" x14ac:dyDescent="0.2">
      <c r="A14" s="202"/>
      <c r="B14" s="208" t="s">
        <v>10</v>
      </c>
      <c r="E14" s="945"/>
      <c r="F14" s="935"/>
      <c r="G14" s="204"/>
      <c r="H14" s="377">
        <f t="shared" si="0"/>
        <v>0</v>
      </c>
      <c r="I14" s="384"/>
      <c r="J14" s="376"/>
    </row>
    <row r="15" spans="1:10" ht="15.75" x14ac:dyDescent="0.2">
      <c r="A15" s="202"/>
      <c r="B15" s="208" t="s">
        <v>769</v>
      </c>
      <c r="E15" s="945"/>
      <c r="F15" s="935"/>
      <c r="G15" s="204"/>
      <c r="H15" s="377">
        <f t="shared" si="0"/>
        <v>0</v>
      </c>
      <c r="I15" s="384"/>
      <c r="J15" s="376"/>
    </row>
    <row r="16" spans="1:10" ht="31.5" x14ac:dyDescent="0.25">
      <c r="A16" s="202"/>
      <c r="B16" s="209" t="s">
        <v>0</v>
      </c>
      <c r="E16" s="945"/>
      <c r="F16" s="935"/>
      <c r="G16" s="204"/>
      <c r="H16" s="377">
        <f t="shared" si="0"/>
        <v>0</v>
      </c>
      <c r="I16" s="384"/>
      <c r="J16" s="376"/>
    </row>
    <row r="17" spans="1:12" ht="15.75" x14ac:dyDescent="0.25">
      <c r="A17" s="202"/>
      <c r="B17" s="210" t="s">
        <v>4</v>
      </c>
      <c r="E17" s="945"/>
      <c r="F17" s="935"/>
      <c r="G17" s="204"/>
      <c r="H17" s="377">
        <f t="shared" si="0"/>
        <v>0</v>
      </c>
      <c r="I17" s="384"/>
      <c r="J17" s="376"/>
      <c r="L17" s="53"/>
    </row>
    <row r="18" spans="1:12" ht="15.75" x14ac:dyDescent="0.25">
      <c r="A18" s="202"/>
      <c r="B18" s="210" t="s">
        <v>741</v>
      </c>
      <c r="E18" s="945"/>
      <c r="F18" s="935"/>
      <c r="G18" s="204"/>
      <c r="H18" s="377">
        <f t="shared" si="0"/>
        <v>0</v>
      </c>
      <c r="I18" s="384"/>
      <c r="J18" s="376"/>
    </row>
    <row r="19" spans="1:12" ht="31.5" x14ac:dyDescent="0.25">
      <c r="A19" s="202" t="s">
        <v>171</v>
      </c>
      <c r="B19" s="209" t="s">
        <v>3</v>
      </c>
      <c r="E19" s="945"/>
      <c r="F19" s="933"/>
      <c r="G19" s="204"/>
      <c r="H19" s="377">
        <f t="shared" si="0"/>
        <v>0</v>
      </c>
      <c r="I19" s="384"/>
      <c r="J19" s="376"/>
    </row>
    <row r="20" spans="1:12" ht="15.75" x14ac:dyDescent="0.25">
      <c r="A20" s="202"/>
      <c r="B20" s="211" t="s">
        <v>39</v>
      </c>
      <c r="E20" s="946">
        <f>E5+E6+E7+E8+E9+E10+E11+E12+E13+E14+E15+E16+E17+E18+E19</f>
        <v>294638</v>
      </c>
      <c r="F20" s="936">
        <f>SUM(F5:F19)</f>
        <v>324849</v>
      </c>
      <c r="G20" s="212">
        <f>SUM(G5:G19)</f>
        <v>0</v>
      </c>
      <c r="H20" s="378">
        <f t="shared" ref="H20:H43" si="1">F20+G20</f>
        <v>324849</v>
      </c>
      <c r="I20" s="385">
        <f>I5+I6+I7+I8+I9+I10+I11+I12+I13+I14+I15+I16+I17+I18+I19</f>
        <v>332561</v>
      </c>
      <c r="J20" s="376"/>
    </row>
    <row r="21" spans="1:12" ht="15.75" x14ac:dyDescent="0.25">
      <c r="A21" s="202"/>
      <c r="B21" s="213" t="s">
        <v>42</v>
      </c>
      <c r="E21" s="947"/>
      <c r="F21" s="937"/>
      <c r="G21" s="214"/>
      <c r="H21" s="379">
        <f t="shared" si="1"/>
        <v>0</v>
      </c>
      <c r="I21" s="386">
        <f>G21+H21</f>
        <v>0</v>
      </c>
      <c r="J21" s="376"/>
    </row>
    <row r="22" spans="1:12" ht="15.75" x14ac:dyDescent="0.25">
      <c r="A22" s="202"/>
      <c r="B22" s="215" t="s">
        <v>43</v>
      </c>
      <c r="E22" s="945"/>
      <c r="F22" s="938"/>
      <c r="G22" s="216"/>
      <c r="H22" s="380">
        <f t="shared" si="1"/>
        <v>0</v>
      </c>
      <c r="I22" s="387">
        <f>G22+H22</f>
        <v>0</v>
      </c>
      <c r="J22" s="376"/>
    </row>
    <row r="23" spans="1:12" ht="15.75" x14ac:dyDescent="0.25">
      <c r="A23" s="202"/>
      <c r="B23" s="217" t="s">
        <v>12</v>
      </c>
      <c r="E23" s="945"/>
      <c r="F23" s="939"/>
      <c r="G23" s="218"/>
      <c r="H23" s="381">
        <f t="shared" si="1"/>
        <v>0</v>
      </c>
      <c r="I23" s="388">
        <f>G23+H23</f>
        <v>0</v>
      </c>
      <c r="J23" s="376"/>
    </row>
    <row r="24" spans="1:12" ht="19.5" customHeight="1" x14ac:dyDescent="0.25">
      <c r="A24" s="202"/>
      <c r="B24" s="209" t="s">
        <v>37</v>
      </c>
      <c r="E24" s="945">
        <v>33269</v>
      </c>
      <c r="F24" s="935"/>
      <c r="G24" s="375">
        <v>37562</v>
      </c>
      <c r="H24" s="989">
        <f t="shared" si="1"/>
        <v>37562</v>
      </c>
      <c r="I24" s="384">
        <v>37562</v>
      </c>
      <c r="J24" s="376"/>
    </row>
    <row r="25" spans="1:12" ht="27.75" customHeight="1" x14ac:dyDescent="0.25">
      <c r="A25" s="202"/>
      <c r="B25" s="219" t="s">
        <v>6</v>
      </c>
      <c r="E25" s="948">
        <f>E20+E21+E22+E23+E24</f>
        <v>327907</v>
      </c>
      <c r="F25" s="940">
        <f>SUM(F20:F24)</f>
        <v>324849</v>
      </c>
      <c r="G25" s="220">
        <f>SUM(G20:G24)</f>
        <v>37562</v>
      </c>
      <c r="H25" s="382">
        <f t="shared" si="1"/>
        <v>362411</v>
      </c>
      <c r="I25" s="389">
        <f>I20+I24</f>
        <v>370123</v>
      </c>
      <c r="J25" s="376"/>
    </row>
    <row r="26" spans="1:12" ht="18.75" customHeight="1" x14ac:dyDescent="0.25">
      <c r="A26" s="202" t="s">
        <v>169</v>
      </c>
      <c r="B26" s="209" t="s">
        <v>123</v>
      </c>
      <c r="E26" s="945"/>
      <c r="F26" s="941"/>
      <c r="G26" s="375"/>
      <c r="H26" s="383">
        <f t="shared" si="1"/>
        <v>0</v>
      </c>
      <c r="I26" s="391">
        <f>G26+H26</f>
        <v>0</v>
      </c>
      <c r="J26" s="376"/>
    </row>
    <row r="27" spans="1:12" ht="15.75" x14ac:dyDescent="0.25">
      <c r="A27" s="202" t="s">
        <v>170</v>
      </c>
      <c r="B27" s="209" t="s">
        <v>130</v>
      </c>
      <c r="E27" s="945">
        <v>277975</v>
      </c>
      <c r="F27" s="942">
        <v>252735</v>
      </c>
      <c r="G27" s="375"/>
      <c r="H27" s="383">
        <f t="shared" si="1"/>
        <v>252735</v>
      </c>
      <c r="I27" s="391">
        <v>24881</v>
      </c>
      <c r="J27" s="376"/>
    </row>
    <row r="28" spans="1:12" ht="15.75" x14ac:dyDescent="0.25">
      <c r="A28" s="202"/>
      <c r="B28" s="209" t="s">
        <v>15</v>
      </c>
      <c r="E28" s="945"/>
      <c r="F28" s="935"/>
      <c r="G28" s="204"/>
      <c r="H28" s="383">
        <f t="shared" si="1"/>
        <v>0</v>
      </c>
      <c r="I28" s="391">
        <f t="shared" ref="I28:I33" si="2">G28+H28</f>
        <v>0</v>
      </c>
      <c r="J28" s="376"/>
    </row>
    <row r="29" spans="1:12" ht="15.75" x14ac:dyDescent="0.25">
      <c r="A29" s="202"/>
      <c r="B29" s="209" t="s">
        <v>94</v>
      </c>
      <c r="E29" s="945"/>
      <c r="F29" s="935"/>
      <c r="G29" s="204"/>
      <c r="H29" s="383">
        <f t="shared" si="1"/>
        <v>0</v>
      </c>
      <c r="I29" s="391">
        <f t="shared" si="2"/>
        <v>0</v>
      </c>
      <c r="J29" s="376"/>
    </row>
    <row r="30" spans="1:12" ht="31.5" x14ac:dyDescent="0.25">
      <c r="A30" s="202" t="s">
        <v>170</v>
      </c>
      <c r="B30" s="209" t="s">
        <v>3</v>
      </c>
      <c r="E30" s="945"/>
      <c r="F30" s="935"/>
      <c r="G30" s="204"/>
      <c r="H30" s="383">
        <f t="shared" si="1"/>
        <v>0</v>
      </c>
      <c r="I30" s="391">
        <f t="shared" si="2"/>
        <v>0</v>
      </c>
      <c r="J30" s="376"/>
    </row>
    <row r="31" spans="1:12" ht="31.5" x14ac:dyDescent="0.25">
      <c r="A31" s="202" t="s">
        <v>170</v>
      </c>
      <c r="B31" s="209" t="s">
        <v>406</v>
      </c>
      <c r="E31" s="945"/>
      <c r="F31" s="935"/>
      <c r="G31" s="204"/>
      <c r="H31" s="383">
        <f t="shared" si="1"/>
        <v>0</v>
      </c>
      <c r="I31" s="391">
        <f t="shared" si="2"/>
        <v>0</v>
      </c>
      <c r="J31" s="376"/>
    </row>
    <row r="32" spans="1:12" ht="15.75" x14ac:dyDescent="0.25">
      <c r="A32" s="202"/>
      <c r="B32" s="209" t="s">
        <v>8</v>
      </c>
      <c r="E32" s="945"/>
      <c r="F32" s="935"/>
      <c r="G32" s="204"/>
      <c r="H32" s="383">
        <f t="shared" si="1"/>
        <v>0</v>
      </c>
      <c r="I32" s="391">
        <f t="shared" si="2"/>
        <v>0</v>
      </c>
      <c r="J32" s="376"/>
    </row>
    <row r="33" spans="1:14" ht="15.75" x14ac:dyDescent="0.25">
      <c r="A33" s="202"/>
      <c r="B33" s="209" t="s">
        <v>1</v>
      </c>
      <c r="E33" s="945"/>
      <c r="F33" s="935"/>
      <c r="G33" s="204"/>
      <c r="H33" s="383">
        <f t="shared" si="1"/>
        <v>0</v>
      </c>
      <c r="I33" s="391">
        <f t="shared" si="2"/>
        <v>0</v>
      </c>
      <c r="J33" s="376"/>
    </row>
    <row r="34" spans="1:14" ht="15.75" x14ac:dyDescent="0.25">
      <c r="A34" s="202"/>
      <c r="B34" s="210" t="s">
        <v>407</v>
      </c>
      <c r="E34" s="945"/>
      <c r="F34" s="935"/>
      <c r="G34" s="204"/>
      <c r="H34" s="383">
        <f t="shared" si="1"/>
        <v>0</v>
      </c>
      <c r="I34" s="391"/>
      <c r="J34" s="376"/>
    </row>
    <row r="35" spans="1:14" ht="15.75" x14ac:dyDescent="0.25">
      <c r="A35" s="202"/>
      <c r="B35" s="211" t="s">
        <v>38</v>
      </c>
      <c r="E35" s="949">
        <f>E26+E27+E28+E29+E30+E31+E32+E33+E34</f>
        <v>277975</v>
      </c>
      <c r="F35" s="943">
        <f>F26+F27+F30+F34+F31</f>
        <v>252735</v>
      </c>
      <c r="G35" s="221">
        <f>G26+G27+G30+G34+G31</f>
        <v>0</v>
      </c>
      <c r="H35" s="378">
        <f t="shared" si="1"/>
        <v>252735</v>
      </c>
      <c r="I35" s="385">
        <f>I26+I27+I28+I29+I30+I30+I31+I32+I33+I34</f>
        <v>24881</v>
      </c>
      <c r="J35" s="376"/>
    </row>
    <row r="36" spans="1:14" ht="15.75" x14ac:dyDescent="0.25">
      <c r="A36" s="202"/>
      <c r="B36" s="213" t="s">
        <v>44</v>
      </c>
      <c r="E36" s="947"/>
      <c r="F36" s="937"/>
      <c r="G36" s="214"/>
      <c r="H36" s="379">
        <f t="shared" si="1"/>
        <v>0</v>
      </c>
      <c r="I36" s="386">
        <f>G36+H36</f>
        <v>0</v>
      </c>
      <c r="J36" s="376"/>
    </row>
    <row r="37" spans="1:14" ht="15.75" x14ac:dyDescent="0.25">
      <c r="A37" s="202"/>
      <c r="B37" s="215" t="s">
        <v>45</v>
      </c>
      <c r="E37" s="950"/>
      <c r="F37" s="938"/>
      <c r="G37" s="216"/>
      <c r="H37" s="380">
        <f t="shared" si="1"/>
        <v>0</v>
      </c>
      <c r="I37" s="387">
        <f>G37+H37</f>
        <v>0</v>
      </c>
      <c r="J37" s="376"/>
      <c r="M37" s="392"/>
    </row>
    <row r="38" spans="1:14" ht="15.75" x14ac:dyDescent="0.25">
      <c r="A38" s="202"/>
      <c r="B38" s="217" t="s">
        <v>13</v>
      </c>
      <c r="E38" s="951"/>
      <c r="F38" s="939"/>
      <c r="G38" s="218"/>
      <c r="H38" s="381">
        <f t="shared" si="1"/>
        <v>0</v>
      </c>
      <c r="I38" s="388">
        <f>G38+H38</f>
        <v>0</v>
      </c>
      <c r="J38" s="376"/>
      <c r="M38" s="393"/>
      <c r="N38" s="54"/>
    </row>
    <row r="39" spans="1:14" ht="20.25" customHeight="1" x14ac:dyDescent="0.25">
      <c r="A39" s="202"/>
      <c r="B39" s="209" t="s">
        <v>41</v>
      </c>
      <c r="E39" s="945">
        <v>1125621</v>
      </c>
      <c r="F39" s="935">
        <v>0</v>
      </c>
      <c r="G39" s="375">
        <v>366422</v>
      </c>
      <c r="H39" s="989">
        <f t="shared" si="1"/>
        <v>366422</v>
      </c>
      <c r="I39" s="391">
        <v>366422</v>
      </c>
      <c r="J39" s="376"/>
      <c r="M39" s="392"/>
      <c r="N39" s="392"/>
    </row>
    <row r="40" spans="1:14" ht="20.25" customHeight="1" x14ac:dyDescent="0.25">
      <c r="A40" s="202"/>
      <c r="B40" s="209" t="s">
        <v>877</v>
      </c>
      <c r="E40" s="945">
        <v>1000000</v>
      </c>
      <c r="F40" s="935">
        <v>1000000</v>
      </c>
      <c r="G40" s="204"/>
      <c r="H40" s="989">
        <f t="shared" si="1"/>
        <v>1000000</v>
      </c>
      <c r="I40" s="391">
        <v>4600000</v>
      </c>
      <c r="J40" s="376"/>
      <c r="M40" s="392"/>
      <c r="N40" s="392"/>
    </row>
    <row r="41" spans="1:14" ht="20.25" customHeight="1" x14ac:dyDescent="0.25">
      <c r="A41" s="308"/>
      <c r="B41" s="309" t="s">
        <v>547</v>
      </c>
      <c r="E41" s="945"/>
      <c r="F41" s="935"/>
      <c r="G41" s="310"/>
      <c r="H41" s="377">
        <f t="shared" si="1"/>
        <v>0</v>
      </c>
      <c r="I41" s="391"/>
      <c r="J41" s="376"/>
      <c r="M41" s="392"/>
      <c r="N41" s="392"/>
    </row>
    <row r="42" spans="1:14" ht="15.75" x14ac:dyDescent="0.25">
      <c r="A42" s="202"/>
      <c r="B42" s="222" t="s">
        <v>14</v>
      </c>
      <c r="E42" s="945"/>
      <c r="F42" s="935"/>
      <c r="G42" s="204"/>
      <c r="H42" s="377">
        <f t="shared" si="1"/>
        <v>0</v>
      </c>
      <c r="I42" s="391">
        <f>G42+H42</f>
        <v>0</v>
      </c>
      <c r="J42" s="376"/>
      <c r="M42" s="392"/>
    </row>
    <row r="43" spans="1:14" ht="15.75" x14ac:dyDescent="0.25">
      <c r="A43" s="202"/>
      <c r="B43" s="222" t="s">
        <v>40</v>
      </c>
      <c r="E43" s="945"/>
      <c r="F43" s="935"/>
      <c r="G43" s="204"/>
      <c r="H43" s="377">
        <f t="shared" si="1"/>
        <v>0</v>
      </c>
      <c r="I43" s="391">
        <f>G43+H43</f>
        <v>0</v>
      </c>
      <c r="J43" s="376"/>
    </row>
    <row r="44" spans="1:14" ht="30" customHeight="1" x14ac:dyDescent="0.25">
      <c r="A44" s="202"/>
      <c r="B44" s="219" t="s">
        <v>7</v>
      </c>
      <c r="E44" s="948">
        <f>E35+E36+E37+E38+E39+E40+E42+E43+E41</f>
        <v>2403596</v>
      </c>
      <c r="F44" s="940">
        <f>F35+F37+F39+F41</f>
        <v>252735</v>
      </c>
      <c r="G44" s="220">
        <f>G35+G37+G39+G40</f>
        <v>366422</v>
      </c>
      <c r="H44" s="382">
        <f>H35+H37+H39+H40+H41</f>
        <v>1619157</v>
      </c>
      <c r="I44" s="389">
        <f t="shared" ref="I44" si="3">I35+I37+I39+I40+I41</f>
        <v>4991303</v>
      </c>
      <c r="J44" s="376"/>
    </row>
    <row r="45" spans="1:14" ht="30.75" customHeight="1" thickBot="1" x14ac:dyDescent="0.3">
      <c r="A45" s="203"/>
      <c r="B45" s="223" t="s">
        <v>46</v>
      </c>
      <c r="C45" s="65"/>
      <c r="D45" s="65"/>
      <c r="E45" s="952">
        <f>E25+E44</f>
        <v>2731503</v>
      </c>
      <c r="F45" s="944">
        <f t="shared" ref="F45:I45" si="4">SUM(F25,F44)</f>
        <v>577584</v>
      </c>
      <c r="G45" s="185">
        <f t="shared" si="4"/>
        <v>403984</v>
      </c>
      <c r="H45" s="185">
        <f t="shared" si="4"/>
        <v>1981568</v>
      </c>
      <c r="I45" s="390">
        <f t="shared" si="4"/>
        <v>5361426</v>
      </c>
      <c r="J45" s="376"/>
    </row>
    <row r="46" spans="1:14" ht="15.75" x14ac:dyDescent="0.25">
      <c r="B46" s="1"/>
      <c r="E46" s="53"/>
      <c r="J46" s="376"/>
    </row>
    <row r="47" spans="1:14" ht="15.75" x14ac:dyDescent="0.25">
      <c r="B47" s="1"/>
      <c r="J47" s="376"/>
    </row>
    <row r="48" spans="1:14" ht="15.75" x14ac:dyDescent="0.25">
      <c r="B48" s="1"/>
      <c r="C48" s="35"/>
      <c r="F48" s="53"/>
    </row>
    <row r="49" spans="2:2" ht="15.75" x14ac:dyDescent="0.25">
      <c r="B49" s="1"/>
    </row>
    <row r="50" spans="2:2" ht="15.75" x14ac:dyDescent="0.25">
      <c r="B50" s="1"/>
    </row>
    <row r="51" spans="2:2" ht="15.75" x14ac:dyDescent="0.25">
      <c r="B51" s="1"/>
    </row>
    <row r="52" spans="2:2" ht="15.75" x14ac:dyDescent="0.25">
      <c r="B52" s="1"/>
    </row>
    <row r="53" spans="2:2" ht="15.75" x14ac:dyDescent="0.25">
      <c r="B53" s="1"/>
    </row>
    <row r="54" spans="2:2" ht="15.75" x14ac:dyDescent="0.25">
      <c r="B54" s="1"/>
    </row>
    <row r="55" spans="2:2" ht="15.75" x14ac:dyDescent="0.25">
      <c r="B55" s="1"/>
    </row>
    <row r="56" spans="2:2" ht="15.75" x14ac:dyDescent="0.25">
      <c r="B56" s="1"/>
    </row>
    <row r="57" spans="2:2" ht="15.75" x14ac:dyDescent="0.25">
      <c r="B57" s="1"/>
    </row>
    <row r="58" spans="2:2" ht="15.75" x14ac:dyDescent="0.25">
      <c r="B58" s="1"/>
    </row>
    <row r="59" spans="2:2" ht="15.75" x14ac:dyDescent="0.25">
      <c r="B59" s="1"/>
    </row>
    <row r="60" spans="2:2" ht="15.75" x14ac:dyDescent="0.25">
      <c r="B60" s="1"/>
    </row>
    <row r="61" spans="2:2" ht="15.75" x14ac:dyDescent="0.25">
      <c r="B61" s="1"/>
    </row>
    <row r="62" spans="2:2" ht="15.75" x14ac:dyDescent="0.25">
      <c r="B62" s="1"/>
    </row>
    <row r="63" spans="2:2" ht="15" x14ac:dyDescent="0.3">
      <c r="B63" s="2"/>
    </row>
    <row r="64" spans="2:2" ht="15" x14ac:dyDescent="0.3">
      <c r="B64" s="2"/>
    </row>
    <row r="65" spans="2:2" ht="15" x14ac:dyDescent="0.3">
      <c r="B65" s="2"/>
    </row>
    <row r="66" spans="2:2" ht="15" x14ac:dyDescent="0.3">
      <c r="B66" s="2"/>
    </row>
    <row r="67" spans="2:2" ht="15" x14ac:dyDescent="0.3">
      <c r="B67" s="2"/>
    </row>
    <row r="68" spans="2:2" ht="15" x14ac:dyDescent="0.3">
      <c r="B68" s="2"/>
    </row>
    <row r="69" spans="2:2" ht="15" x14ac:dyDescent="0.3">
      <c r="B69" s="2"/>
    </row>
    <row r="70" spans="2:2" ht="15" x14ac:dyDescent="0.3">
      <c r="B70" s="2"/>
    </row>
    <row r="71" spans="2:2" ht="15" x14ac:dyDescent="0.3">
      <c r="B71" s="2"/>
    </row>
    <row r="72" spans="2:2" ht="15" x14ac:dyDescent="0.3">
      <c r="B72" s="2"/>
    </row>
    <row r="73" spans="2:2" ht="15" x14ac:dyDescent="0.3">
      <c r="B73" s="2"/>
    </row>
    <row r="74" spans="2:2" ht="15" x14ac:dyDescent="0.3">
      <c r="B74" s="2"/>
    </row>
    <row r="75" spans="2:2" ht="15" x14ac:dyDescent="0.3">
      <c r="B75" s="2"/>
    </row>
    <row r="76" spans="2:2" ht="15" x14ac:dyDescent="0.3">
      <c r="B76" s="2"/>
    </row>
    <row r="77" spans="2:2" ht="15" x14ac:dyDescent="0.3">
      <c r="B77" s="2"/>
    </row>
    <row r="78" spans="2:2" ht="15" x14ac:dyDescent="0.3">
      <c r="B78" s="2"/>
    </row>
    <row r="79" spans="2:2" ht="15" x14ac:dyDescent="0.3">
      <c r="B79" s="2"/>
    </row>
    <row r="80" spans="2:2" ht="15" x14ac:dyDescent="0.3">
      <c r="B80" s="2"/>
    </row>
    <row r="81" spans="2:2" ht="15" x14ac:dyDescent="0.3">
      <c r="B81" s="2"/>
    </row>
    <row r="82" spans="2:2" ht="15" x14ac:dyDescent="0.3">
      <c r="B82" s="2"/>
    </row>
    <row r="83" spans="2:2" ht="15" x14ac:dyDescent="0.3">
      <c r="B83" s="2"/>
    </row>
    <row r="84" spans="2:2" ht="15" x14ac:dyDescent="0.3">
      <c r="B84" s="2"/>
    </row>
    <row r="85" spans="2:2" ht="15" x14ac:dyDescent="0.3">
      <c r="B85" s="2"/>
    </row>
    <row r="86" spans="2:2" ht="15" x14ac:dyDescent="0.3">
      <c r="B86" s="2"/>
    </row>
    <row r="87" spans="2:2" ht="15" x14ac:dyDescent="0.3">
      <c r="B87" s="2"/>
    </row>
    <row r="88" spans="2:2" ht="15" x14ac:dyDescent="0.3">
      <c r="B88" s="2"/>
    </row>
    <row r="89" spans="2:2" ht="15" x14ac:dyDescent="0.3">
      <c r="B89" s="2"/>
    </row>
    <row r="90" spans="2:2" ht="15" x14ac:dyDescent="0.3">
      <c r="B90" s="2"/>
    </row>
    <row r="91" spans="2:2" ht="15" x14ac:dyDescent="0.3">
      <c r="B91" s="2"/>
    </row>
    <row r="92" spans="2:2" ht="15" x14ac:dyDescent="0.3">
      <c r="B92" s="2"/>
    </row>
    <row r="93" spans="2:2" ht="15" x14ac:dyDescent="0.3">
      <c r="B93" s="2"/>
    </row>
    <row r="94" spans="2:2" ht="15" x14ac:dyDescent="0.3">
      <c r="B94" s="2"/>
    </row>
    <row r="95" spans="2:2" ht="15" x14ac:dyDescent="0.3">
      <c r="B95" s="2"/>
    </row>
    <row r="96" spans="2:2" ht="15" x14ac:dyDescent="0.3">
      <c r="B96" s="2"/>
    </row>
    <row r="97" spans="2:2" ht="15" x14ac:dyDescent="0.3">
      <c r="B97" s="2"/>
    </row>
  </sheetData>
  <mergeCells count="2">
    <mergeCell ref="A1:H1"/>
    <mergeCell ref="A2:H2"/>
  </mergeCells>
  <pageMargins left="0.74803149606299213" right="0.74803149606299213" top="0.98425196850393704" bottom="0.98425196850393704" header="0.51181102362204722" footer="0.51181102362204722"/>
  <pageSetup paperSize="9" scale="40" orientation="portrait" r:id="rId1"/>
  <headerFooter alignWithMargins="0">
    <oddHeader>&amp;R1.MELLÉKLET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C249-F08B-49BF-9212-F001917027A0}">
  <sheetPr>
    <tabColor rgb="FFC00000"/>
  </sheetPr>
  <dimension ref="A1:AY153"/>
  <sheetViews>
    <sheetView topLeftCell="AK13" workbookViewId="0">
      <selection activeCell="AX23" sqref="AX23"/>
    </sheetView>
  </sheetViews>
  <sheetFormatPr defaultRowHeight="15" x14ac:dyDescent="0.25"/>
  <cols>
    <col min="1" max="1" width="9.140625" style="762"/>
    <col min="2" max="2" width="20" style="753" customWidth="1"/>
    <col min="3" max="3" width="16.140625" style="753" customWidth="1"/>
    <col min="4" max="4" width="18.28515625" customWidth="1"/>
    <col min="5" max="5" width="14.42578125" customWidth="1"/>
    <col min="6" max="6" width="18" customWidth="1"/>
    <col min="7" max="7" width="18.28515625" customWidth="1"/>
    <col min="8" max="8" width="16.140625" customWidth="1"/>
    <col min="9" max="9" width="18.28515625" customWidth="1"/>
    <col min="10" max="10" width="15.28515625" customWidth="1"/>
    <col min="11" max="11" width="18.28515625" customWidth="1"/>
    <col min="12" max="26" width="15.28515625" customWidth="1"/>
    <col min="27" max="27" width="21.42578125" customWidth="1"/>
    <col min="28" max="28" width="17.28515625" customWidth="1"/>
    <col min="29" max="29" width="18" customWidth="1"/>
    <col min="30" max="30" width="14" customWidth="1"/>
    <col min="31" max="31" width="16.42578125" customWidth="1"/>
    <col min="32" max="32" width="16.28515625" customWidth="1"/>
    <col min="33" max="34" width="16.42578125" customWidth="1"/>
    <col min="35" max="38" width="21.140625" customWidth="1"/>
    <col min="39" max="40" width="14.5703125" bestFit="1" customWidth="1"/>
    <col min="41" max="41" width="11.42578125" customWidth="1"/>
    <col min="42" max="42" width="17.28515625" bestFit="1" customWidth="1"/>
    <col min="43" max="44" width="26.28515625" style="266" customWidth="1"/>
    <col min="45" max="45" width="22.28515625" customWidth="1"/>
    <col min="46" max="47" width="17" style="266" customWidth="1"/>
    <col min="48" max="48" width="11" bestFit="1" customWidth="1"/>
    <col min="50" max="50" width="16.140625" bestFit="1" customWidth="1"/>
    <col min="51" max="51" width="15.140625" bestFit="1" customWidth="1"/>
    <col min="258" max="258" width="20" customWidth="1"/>
    <col min="259" max="259" width="16.140625" customWidth="1"/>
    <col min="260" max="260" width="18.28515625" customWidth="1"/>
    <col min="261" max="261" width="14.42578125" customWidth="1"/>
    <col min="262" max="262" width="18" customWidth="1"/>
    <col min="263" max="263" width="18.28515625" customWidth="1"/>
    <col min="264" max="264" width="16.140625" customWidth="1"/>
    <col min="265" max="265" width="18.28515625" customWidth="1"/>
    <col min="266" max="266" width="15.28515625" customWidth="1"/>
    <col min="267" max="267" width="18.28515625" customWidth="1"/>
    <col min="268" max="282" width="15.28515625" customWidth="1"/>
    <col min="283" max="283" width="21.42578125" customWidth="1"/>
    <col min="284" max="284" width="17.28515625" customWidth="1"/>
    <col min="285" max="285" width="18" customWidth="1"/>
    <col min="286" max="286" width="14" customWidth="1"/>
    <col min="287" max="287" width="16.42578125" customWidth="1"/>
    <col min="288" max="288" width="16.28515625" customWidth="1"/>
    <col min="289" max="290" width="16.42578125" customWidth="1"/>
    <col min="291" max="294" width="21.140625" customWidth="1"/>
    <col min="295" max="296" width="14.5703125" bestFit="1" customWidth="1"/>
    <col min="297" max="297" width="11.42578125" customWidth="1"/>
    <col min="298" max="298" width="17.28515625" bestFit="1" customWidth="1"/>
    <col min="299" max="300" width="26.28515625" customWidth="1"/>
    <col min="301" max="301" width="22.28515625" customWidth="1"/>
    <col min="302" max="303" width="17" customWidth="1"/>
    <col min="304" max="304" width="11" bestFit="1" customWidth="1"/>
    <col min="306" max="306" width="16.140625" bestFit="1" customWidth="1"/>
    <col min="307" max="307" width="15.140625" bestFit="1" customWidth="1"/>
    <col min="514" max="514" width="20" customWidth="1"/>
    <col min="515" max="515" width="16.140625" customWidth="1"/>
    <col min="516" max="516" width="18.28515625" customWidth="1"/>
    <col min="517" max="517" width="14.42578125" customWidth="1"/>
    <col min="518" max="518" width="18" customWidth="1"/>
    <col min="519" max="519" width="18.28515625" customWidth="1"/>
    <col min="520" max="520" width="16.140625" customWidth="1"/>
    <col min="521" max="521" width="18.28515625" customWidth="1"/>
    <col min="522" max="522" width="15.28515625" customWidth="1"/>
    <col min="523" max="523" width="18.28515625" customWidth="1"/>
    <col min="524" max="538" width="15.28515625" customWidth="1"/>
    <col min="539" max="539" width="21.42578125" customWidth="1"/>
    <col min="540" max="540" width="17.28515625" customWidth="1"/>
    <col min="541" max="541" width="18" customWidth="1"/>
    <col min="542" max="542" width="14" customWidth="1"/>
    <col min="543" max="543" width="16.42578125" customWidth="1"/>
    <col min="544" max="544" width="16.28515625" customWidth="1"/>
    <col min="545" max="546" width="16.42578125" customWidth="1"/>
    <col min="547" max="550" width="21.140625" customWidth="1"/>
    <col min="551" max="552" width="14.5703125" bestFit="1" customWidth="1"/>
    <col min="553" max="553" width="11.42578125" customWidth="1"/>
    <col min="554" max="554" width="17.28515625" bestFit="1" customWidth="1"/>
    <col min="555" max="556" width="26.28515625" customWidth="1"/>
    <col min="557" max="557" width="22.28515625" customWidth="1"/>
    <col min="558" max="559" width="17" customWidth="1"/>
    <col min="560" max="560" width="11" bestFit="1" customWidth="1"/>
    <col min="562" max="562" width="16.140625" bestFit="1" customWidth="1"/>
    <col min="563" max="563" width="15.140625" bestFit="1" customWidth="1"/>
    <col min="770" max="770" width="20" customWidth="1"/>
    <col min="771" max="771" width="16.140625" customWidth="1"/>
    <col min="772" max="772" width="18.28515625" customWidth="1"/>
    <col min="773" max="773" width="14.42578125" customWidth="1"/>
    <col min="774" max="774" width="18" customWidth="1"/>
    <col min="775" max="775" width="18.28515625" customWidth="1"/>
    <col min="776" max="776" width="16.140625" customWidth="1"/>
    <col min="777" max="777" width="18.28515625" customWidth="1"/>
    <col min="778" max="778" width="15.28515625" customWidth="1"/>
    <col min="779" max="779" width="18.28515625" customWidth="1"/>
    <col min="780" max="794" width="15.28515625" customWidth="1"/>
    <col min="795" max="795" width="21.42578125" customWidth="1"/>
    <col min="796" max="796" width="17.28515625" customWidth="1"/>
    <col min="797" max="797" width="18" customWidth="1"/>
    <col min="798" max="798" width="14" customWidth="1"/>
    <col min="799" max="799" width="16.42578125" customWidth="1"/>
    <col min="800" max="800" width="16.28515625" customWidth="1"/>
    <col min="801" max="802" width="16.42578125" customWidth="1"/>
    <col min="803" max="806" width="21.140625" customWidth="1"/>
    <col min="807" max="808" width="14.5703125" bestFit="1" customWidth="1"/>
    <col min="809" max="809" width="11.42578125" customWidth="1"/>
    <col min="810" max="810" width="17.28515625" bestFit="1" customWidth="1"/>
    <col min="811" max="812" width="26.28515625" customWidth="1"/>
    <col min="813" max="813" width="22.28515625" customWidth="1"/>
    <col min="814" max="815" width="17" customWidth="1"/>
    <col min="816" max="816" width="11" bestFit="1" customWidth="1"/>
    <col min="818" max="818" width="16.140625" bestFit="1" customWidth="1"/>
    <col min="819" max="819" width="15.140625" bestFit="1" customWidth="1"/>
    <col min="1026" max="1026" width="20" customWidth="1"/>
    <col min="1027" max="1027" width="16.140625" customWidth="1"/>
    <col min="1028" max="1028" width="18.28515625" customWidth="1"/>
    <col min="1029" max="1029" width="14.42578125" customWidth="1"/>
    <col min="1030" max="1030" width="18" customWidth="1"/>
    <col min="1031" max="1031" width="18.28515625" customWidth="1"/>
    <col min="1032" max="1032" width="16.140625" customWidth="1"/>
    <col min="1033" max="1033" width="18.28515625" customWidth="1"/>
    <col min="1034" max="1034" width="15.28515625" customWidth="1"/>
    <col min="1035" max="1035" width="18.28515625" customWidth="1"/>
    <col min="1036" max="1050" width="15.28515625" customWidth="1"/>
    <col min="1051" max="1051" width="21.42578125" customWidth="1"/>
    <col min="1052" max="1052" width="17.28515625" customWidth="1"/>
    <col min="1053" max="1053" width="18" customWidth="1"/>
    <col min="1054" max="1054" width="14" customWidth="1"/>
    <col min="1055" max="1055" width="16.42578125" customWidth="1"/>
    <col min="1056" max="1056" width="16.28515625" customWidth="1"/>
    <col min="1057" max="1058" width="16.42578125" customWidth="1"/>
    <col min="1059" max="1062" width="21.140625" customWidth="1"/>
    <col min="1063" max="1064" width="14.5703125" bestFit="1" customWidth="1"/>
    <col min="1065" max="1065" width="11.42578125" customWidth="1"/>
    <col min="1066" max="1066" width="17.28515625" bestFit="1" customWidth="1"/>
    <col min="1067" max="1068" width="26.28515625" customWidth="1"/>
    <col min="1069" max="1069" width="22.28515625" customWidth="1"/>
    <col min="1070" max="1071" width="17" customWidth="1"/>
    <col min="1072" max="1072" width="11" bestFit="1" customWidth="1"/>
    <col min="1074" max="1074" width="16.140625" bestFit="1" customWidth="1"/>
    <col min="1075" max="1075" width="15.140625" bestFit="1" customWidth="1"/>
    <col min="1282" max="1282" width="20" customWidth="1"/>
    <col min="1283" max="1283" width="16.140625" customWidth="1"/>
    <col min="1284" max="1284" width="18.28515625" customWidth="1"/>
    <col min="1285" max="1285" width="14.42578125" customWidth="1"/>
    <col min="1286" max="1286" width="18" customWidth="1"/>
    <col min="1287" max="1287" width="18.28515625" customWidth="1"/>
    <col min="1288" max="1288" width="16.140625" customWidth="1"/>
    <col min="1289" max="1289" width="18.28515625" customWidth="1"/>
    <col min="1290" max="1290" width="15.28515625" customWidth="1"/>
    <col min="1291" max="1291" width="18.28515625" customWidth="1"/>
    <col min="1292" max="1306" width="15.28515625" customWidth="1"/>
    <col min="1307" max="1307" width="21.42578125" customWidth="1"/>
    <col min="1308" max="1308" width="17.28515625" customWidth="1"/>
    <col min="1309" max="1309" width="18" customWidth="1"/>
    <col min="1310" max="1310" width="14" customWidth="1"/>
    <col min="1311" max="1311" width="16.42578125" customWidth="1"/>
    <col min="1312" max="1312" width="16.28515625" customWidth="1"/>
    <col min="1313" max="1314" width="16.42578125" customWidth="1"/>
    <col min="1315" max="1318" width="21.140625" customWidth="1"/>
    <col min="1319" max="1320" width="14.5703125" bestFit="1" customWidth="1"/>
    <col min="1321" max="1321" width="11.42578125" customWidth="1"/>
    <col min="1322" max="1322" width="17.28515625" bestFit="1" customWidth="1"/>
    <col min="1323" max="1324" width="26.28515625" customWidth="1"/>
    <col min="1325" max="1325" width="22.28515625" customWidth="1"/>
    <col min="1326" max="1327" width="17" customWidth="1"/>
    <col min="1328" max="1328" width="11" bestFit="1" customWidth="1"/>
    <col min="1330" max="1330" width="16.140625" bestFit="1" customWidth="1"/>
    <col min="1331" max="1331" width="15.140625" bestFit="1" customWidth="1"/>
    <col min="1538" max="1538" width="20" customWidth="1"/>
    <col min="1539" max="1539" width="16.140625" customWidth="1"/>
    <col min="1540" max="1540" width="18.28515625" customWidth="1"/>
    <col min="1541" max="1541" width="14.42578125" customWidth="1"/>
    <col min="1542" max="1542" width="18" customWidth="1"/>
    <col min="1543" max="1543" width="18.28515625" customWidth="1"/>
    <col min="1544" max="1544" width="16.140625" customWidth="1"/>
    <col min="1545" max="1545" width="18.28515625" customWidth="1"/>
    <col min="1546" max="1546" width="15.28515625" customWidth="1"/>
    <col min="1547" max="1547" width="18.28515625" customWidth="1"/>
    <col min="1548" max="1562" width="15.28515625" customWidth="1"/>
    <col min="1563" max="1563" width="21.42578125" customWidth="1"/>
    <col min="1564" max="1564" width="17.28515625" customWidth="1"/>
    <col min="1565" max="1565" width="18" customWidth="1"/>
    <col min="1566" max="1566" width="14" customWidth="1"/>
    <col min="1567" max="1567" width="16.42578125" customWidth="1"/>
    <col min="1568" max="1568" width="16.28515625" customWidth="1"/>
    <col min="1569" max="1570" width="16.42578125" customWidth="1"/>
    <col min="1571" max="1574" width="21.140625" customWidth="1"/>
    <col min="1575" max="1576" width="14.5703125" bestFit="1" customWidth="1"/>
    <col min="1577" max="1577" width="11.42578125" customWidth="1"/>
    <col min="1578" max="1578" width="17.28515625" bestFit="1" customWidth="1"/>
    <col min="1579" max="1580" width="26.28515625" customWidth="1"/>
    <col min="1581" max="1581" width="22.28515625" customWidth="1"/>
    <col min="1582" max="1583" width="17" customWidth="1"/>
    <col min="1584" max="1584" width="11" bestFit="1" customWidth="1"/>
    <col min="1586" max="1586" width="16.140625" bestFit="1" customWidth="1"/>
    <col min="1587" max="1587" width="15.140625" bestFit="1" customWidth="1"/>
    <col min="1794" max="1794" width="20" customWidth="1"/>
    <col min="1795" max="1795" width="16.140625" customWidth="1"/>
    <col min="1796" max="1796" width="18.28515625" customWidth="1"/>
    <col min="1797" max="1797" width="14.42578125" customWidth="1"/>
    <col min="1798" max="1798" width="18" customWidth="1"/>
    <col min="1799" max="1799" width="18.28515625" customWidth="1"/>
    <col min="1800" max="1800" width="16.140625" customWidth="1"/>
    <col min="1801" max="1801" width="18.28515625" customWidth="1"/>
    <col min="1802" max="1802" width="15.28515625" customWidth="1"/>
    <col min="1803" max="1803" width="18.28515625" customWidth="1"/>
    <col min="1804" max="1818" width="15.28515625" customWidth="1"/>
    <col min="1819" max="1819" width="21.42578125" customWidth="1"/>
    <col min="1820" max="1820" width="17.28515625" customWidth="1"/>
    <col min="1821" max="1821" width="18" customWidth="1"/>
    <col min="1822" max="1822" width="14" customWidth="1"/>
    <col min="1823" max="1823" width="16.42578125" customWidth="1"/>
    <col min="1824" max="1824" width="16.28515625" customWidth="1"/>
    <col min="1825" max="1826" width="16.42578125" customWidth="1"/>
    <col min="1827" max="1830" width="21.140625" customWidth="1"/>
    <col min="1831" max="1832" width="14.5703125" bestFit="1" customWidth="1"/>
    <col min="1833" max="1833" width="11.42578125" customWidth="1"/>
    <col min="1834" max="1834" width="17.28515625" bestFit="1" customWidth="1"/>
    <col min="1835" max="1836" width="26.28515625" customWidth="1"/>
    <col min="1837" max="1837" width="22.28515625" customWidth="1"/>
    <col min="1838" max="1839" width="17" customWidth="1"/>
    <col min="1840" max="1840" width="11" bestFit="1" customWidth="1"/>
    <col min="1842" max="1842" width="16.140625" bestFit="1" customWidth="1"/>
    <col min="1843" max="1843" width="15.140625" bestFit="1" customWidth="1"/>
    <col min="2050" max="2050" width="20" customWidth="1"/>
    <col min="2051" max="2051" width="16.140625" customWidth="1"/>
    <col min="2052" max="2052" width="18.28515625" customWidth="1"/>
    <col min="2053" max="2053" width="14.42578125" customWidth="1"/>
    <col min="2054" max="2054" width="18" customWidth="1"/>
    <col min="2055" max="2055" width="18.28515625" customWidth="1"/>
    <col min="2056" max="2056" width="16.140625" customWidth="1"/>
    <col min="2057" max="2057" width="18.28515625" customWidth="1"/>
    <col min="2058" max="2058" width="15.28515625" customWidth="1"/>
    <col min="2059" max="2059" width="18.28515625" customWidth="1"/>
    <col min="2060" max="2074" width="15.28515625" customWidth="1"/>
    <col min="2075" max="2075" width="21.42578125" customWidth="1"/>
    <col min="2076" max="2076" width="17.28515625" customWidth="1"/>
    <col min="2077" max="2077" width="18" customWidth="1"/>
    <col min="2078" max="2078" width="14" customWidth="1"/>
    <col min="2079" max="2079" width="16.42578125" customWidth="1"/>
    <col min="2080" max="2080" width="16.28515625" customWidth="1"/>
    <col min="2081" max="2082" width="16.42578125" customWidth="1"/>
    <col min="2083" max="2086" width="21.140625" customWidth="1"/>
    <col min="2087" max="2088" width="14.5703125" bestFit="1" customWidth="1"/>
    <col min="2089" max="2089" width="11.42578125" customWidth="1"/>
    <col min="2090" max="2090" width="17.28515625" bestFit="1" customWidth="1"/>
    <col min="2091" max="2092" width="26.28515625" customWidth="1"/>
    <col min="2093" max="2093" width="22.28515625" customWidth="1"/>
    <col min="2094" max="2095" width="17" customWidth="1"/>
    <col min="2096" max="2096" width="11" bestFit="1" customWidth="1"/>
    <col min="2098" max="2098" width="16.140625" bestFit="1" customWidth="1"/>
    <col min="2099" max="2099" width="15.140625" bestFit="1" customWidth="1"/>
    <col min="2306" max="2306" width="20" customWidth="1"/>
    <col min="2307" max="2307" width="16.140625" customWidth="1"/>
    <col min="2308" max="2308" width="18.28515625" customWidth="1"/>
    <col min="2309" max="2309" width="14.42578125" customWidth="1"/>
    <col min="2310" max="2310" width="18" customWidth="1"/>
    <col min="2311" max="2311" width="18.28515625" customWidth="1"/>
    <col min="2312" max="2312" width="16.140625" customWidth="1"/>
    <col min="2313" max="2313" width="18.28515625" customWidth="1"/>
    <col min="2314" max="2314" width="15.28515625" customWidth="1"/>
    <col min="2315" max="2315" width="18.28515625" customWidth="1"/>
    <col min="2316" max="2330" width="15.28515625" customWidth="1"/>
    <col min="2331" max="2331" width="21.42578125" customWidth="1"/>
    <col min="2332" max="2332" width="17.28515625" customWidth="1"/>
    <col min="2333" max="2333" width="18" customWidth="1"/>
    <col min="2334" max="2334" width="14" customWidth="1"/>
    <col min="2335" max="2335" width="16.42578125" customWidth="1"/>
    <col min="2336" max="2336" width="16.28515625" customWidth="1"/>
    <col min="2337" max="2338" width="16.42578125" customWidth="1"/>
    <col min="2339" max="2342" width="21.140625" customWidth="1"/>
    <col min="2343" max="2344" width="14.5703125" bestFit="1" customWidth="1"/>
    <col min="2345" max="2345" width="11.42578125" customWidth="1"/>
    <col min="2346" max="2346" width="17.28515625" bestFit="1" customWidth="1"/>
    <col min="2347" max="2348" width="26.28515625" customWidth="1"/>
    <col min="2349" max="2349" width="22.28515625" customWidth="1"/>
    <col min="2350" max="2351" width="17" customWidth="1"/>
    <col min="2352" max="2352" width="11" bestFit="1" customWidth="1"/>
    <col min="2354" max="2354" width="16.140625" bestFit="1" customWidth="1"/>
    <col min="2355" max="2355" width="15.140625" bestFit="1" customWidth="1"/>
    <col min="2562" max="2562" width="20" customWidth="1"/>
    <col min="2563" max="2563" width="16.140625" customWidth="1"/>
    <col min="2564" max="2564" width="18.28515625" customWidth="1"/>
    <col min="2565" max="2565" width="14.42578125" customWidth="1"/>
    <col min="2566" max="2566" width="18" customWidth="1"/>
    <col min="2567" max="2567" width="18.28515625" customWidth="1"/>
    <col min="2568" max="2568" width="16.140625" customWidth="1"/>
    <col min="2569" max="2569" width="18.28515625" customWidth="1"/>
    <col min="2570" max="2570" width="15.28515625" customWidth="1"/>
    <col min="2571" max="2571" width="18.28515625" customWidth="1"/>
    <col min="2572" max="2586" width="15.28515625" customWidth="1"/>
    <col min="2587" max="2587" width="21.42578125" customWidth="1"/>
    <col min="2588" max="2588" width="17.28515625" customWidth="1"/>
    <col min="2589" max="2589" width="18" customWidth="1"/>
    <col min="2590" max="2590" width="14" customWidth="1"/>
    <col min="2591" max="2591" width="16.42578125" customWidth="1"/>
    <col min="2592" max="2592" width="16.28515625" customWidth="1"/>
    <col min="2593" max="2594" width="16.42578125" customWidth="1"/>
    <col min="2595" max="2598" width="21.140625" customWidth="1"/>
    <col min="2599" max="2600" width="14.5703125" bestFit="1" customWidth="1"/>
    <col min="2601" max="2601" width="11.42578125" customWidth="1"/>
    <col min="2602" max="2602" width="17.28515625" bestFit="1" customWidth="1"/>
    <col min="2603" max="2604" width="26.28515625" customWidth="1"/>
    <col min="2605" max="2605" width="22.28515625" customWidth="1"/>
    <col min="2606" max="2607" width="17" customWidth="1"/>
    <col min="2608" max="2608" width="11" bestFit="1" customWidth="1"/>
    <col min="2610" max="2610" width="16.140625" bestFit="1" customWidth="1"/>
    <col min="2611" max="2611" width="15.140625" bestFit="1" customWidth="1"/>
    <col min="2818" max="2818" width="20" customWidth="1"/>
    <col min="2819" max="2819" width="16.140625" customWidth="1"/>
    <col min="2820" max="2820" width="18.28515625" customWidth="1"/>
    <col min="2821" max="2821" width="14.42578125" customWidth="1"/>
    <col min="2822" max="2822" width="18" customWidth="1"/>
    <col min="2823" max="2823" width="18.28515625" customWidth="1"/>
    <col min="2824" max="2824" width="16.140625" customWidth="1"/>
    <col min="2825" max="2825" width="18.28515625" customWidth="1"/>
    <col min="2826" max="2826" width="15.28515625" customWidth="1"/>
    <col min="2827" max="2827" width="18.28515625" customWidth="1"/>
    <col min="2828" max="2842" width="15.28515625" customWidth="1"/>
    <col min="2843" max="2843" width="21.42578125" customWidth="1"/>
    <col min="2844" max="2844" width="17.28515625" customWidth="1"/>
    <col min="2845" max="2845" width="18" customWidth="1"/>
    <col min="2846" max="2846" width="14" customWidth="1"/>
    <col min="2847" max="2847" width="16.42578125" customWidth="1"/>
    <col min="2848" max="2848" width="16.28515625" customWidth="1"/>
    <col min="2849" max="2850" width="16.42578125" customWidth="1"/>
    <col min="2851" max="2854" width="21.140625" customWidth="1"/>
    <col min="2855" max="2856" width="14.5703125" bestFit="1" customWidth="1"/>
    <col min="2857" max="2857" width="11.42578125" customWidth="1"/>
    <col min="2858" max="2858" width="17.28515625" bestFit="1" customWidth="1"/>
    <col min="2859" max="2860" width="26.28515625" customWidth="1"/>
    <col min="2861" max="2861" width="22.28515625" customWidth="1"/>
    <col min="2862" max="2863" width="17" customWidth="1"/>
    <col min="2864" max="2864" width="11" bestFit="1" customWidth="1"/>
    <col min="2866" max="2866" width="16.140625" bestFit="1" customWidth="1"/>
    <col min="2867" max="2867" width="15.140625" bestFit="1" customWidth="1"/>
    <col min="3074" max="3074" width="20" customWidth="1"/>
    <col min="3075" max="3075" width="16.140625" customWidth="1"/>
    <col min="3076" max="3076" width="18.28515625" customWidth="1"/>
    <col min="3077" max="3077" width="14.42578125" customWidth="1"/>
    <col min="3078" max="3078" width="18" customWidth="1"/>
    <col min="3079" max="3079" width="18.28515625" customWidth="1"/>
    <col min="3080" max="3080" width="16.140625" customWidth="1"/>
    <col min="3081" max="3081" width="18.28515625" customWidth="1"/>
    <col min="3082" max="3082" width="15.28515625" customWidth="1"/>
    <col min="3083" max="3083" width="18.28515625" customWidth="1"/>
    <col min="3084" max="3098" width="15.28515625" customWidth="1"/>
    <col min="3099" max="3099" width="21.42578125" customWidth="1"/>
    <col min="3100" max="3100" width="17.28515625" customWidth="1"/>
    <col min="3101" max="3101" width="18" customWidth="1"/>
    <col min="3102" max="3102" width="14" customWidth="1"/>
    <col min="3103" max="3103" width="16.42578125" customWidth="1"/>
    <col min="3104" max="3104" width="16.28515625" customWidth="1"/>
    <col min="3105" max="3106" width="16.42578125" customWidth="1"/>
    <col min="3107" max="3110" width="21.140625" customWidth="1"/>
    <col min="3111" max="3112" width="14.5703125" bestFit="1" customWidth="1"/>
    <col min="3113" max="3113" width="11.42578125" customWidth="1"/>
    <col min="3114" max="3114" width="17.28515625" bestFit="1" customWidth="1"/>
    <col min="3115" max="3116" width="26.28515625" customWidth="1"/>
    <col min="3117" max="3117" width="22.28515625" customWidth="1"/>
    <col min="3118" max="3119" width="17" customWidth="1"/>
    <col min="3120" max="3120" width="11" bestFit="1" customWidth="1"/>
    <col min="3122" max="3122" width="16.140625" bestFit="1" customWidth="1"/>
    <col min="3123" max="3123" width="15.140625" bestFit="1" customWidth="1"/>
    <col min="3330" max="3330" width="20" customWidth="1"/>
    <col min="3331" max="3331" width="16.140625" customWidth="1"/>
    <col min="3332" max="3332" width="18.28515625" customWidth="1"/>
    <col min="3333" max="3333" width="14.42578125" customWidth="1"/>
    <col min="3334" max="3334" width="18" customWidth="1"/>
    <col min="3335" max="3335" width="18.28515625" customWidth="1"/>
    <col min="3336" max="3336" width="16.140625" customWidth="1"/>
    <col min="3337" max="3337" width="18.28515625" customWidth="1"/>
    <col min="3338" max="3338" width="15.28515625" customWidth="1"/>
    <col min="3339" max="3339" width="18.28515625" customWidth="1"/>
    <col min="3340" max="3354" width="15.28515625" customWidth="1"/>
    <col min="3355" max="3355" width="21.42578125" customWidth="1"/>
    <col min="3356" max="3356" width="17.28515625" customWidth="1"/>
    <col min="3357" max="3357" width="18" customWidth="1"/>
    <col min="3358" max="3358" width="14" customWidth="1"/>
    <col min="3359" max="3359" width="16.42578125" customWidth="1"/>
    <col min="3360" max="3360" width="16.28515625" customWidth="1"/>
    <col min="3361" max="3362" width="16.42578125" customWidth="1"/>
    <col min="3363" max="3366" width="21.140625" customWidth="1"/>
    <col min="3367" max="3368" width="14.5703125" bestFit="1" customWidth="1"/>
    <col min="3369" max="3369" width="11.42578125" customWidth="1"/>
    <col min="3370" max="3370" width="17.28515625" bestFit="1" customWidth="1"/>
    <col min="3371" max="3372" width="26.28515625" customWidth="1"/>
    <col min="3373" max="3373" width="22.28515625" customWidth="1"/>
    <col min="3374" max="3375" width="17" customWidth="1"/>
    <col min="3376" max="3376" width="11" bestFit="1" customWidth="1"/>
    <col min="3378" max="3378" width="16.140625" bestFit="1" customWidth="1"/>
    <col min="3379" max="3379" width="15.140625" bestFit="1" customWidth="1"/>
    <col min="3586" max="3586" width="20" customWidth="1"/>
    <col min="3587" max="3587" width="16.140625" customWidth="1"/>
    <col min="3588" max="3588" width="18.28515625" customWidth="1"/>
    <col min="3589" max="3589" width="14.42578125" customWidth="1"/>
    <col min="3590" max="3590" width="18" customWidth="1"/>
    <col min="3591" max="3591" width="18.28515625" customWidth="1"/>
    <col min="3592" max="3592" width="16.140625" customWidth="1"/>
    <col min="3593" max="3593" width="18.28515625" customWidth="1"/>
    <col min="3594" max="3594" width="15.28515625" customWidth="1"/>
    <col min="3595" max="3595" width="18.28515625" customWidth="1"/>
    <col min="3596" max="3610" width="15.28515625" customWidth="1"/>
    <col min="3611" max="3611" width="21.42578125" customWidth="1"/>
    <col min="3612" max="3612" width="17.28515625" customWidth="1"/>
    <col min="3613" max="3613" width="18" customWidth="1"/>
    <col min="3614" max="3614" width="14" customWidth="1"/>
    <col min="3615" max="3615" width="16.42578125" customWidth="1"/>
    <col min="3616" max="3616" width="16.28515625" customWidth="1"/>
    <col min="3617" max="3618" width="16.42578125" customWidth="1"/>
    <col min="3619" max="3622" width="21.140625" customWidth="1"/>
    <col min="3623" max="3624" width="14.5703125" bestFit="1" customWidth="1"/>
    <col min="3625" max="3625" width="11.42578125" customWidth="1"/>
    <col min="3626" max="3626" width="17.28515625" bestFit="1" customWidth="1"/>
    <col min="3627" max="3628" width="26.28515625" customWidth="1"/>
    <col min="3629" max="3629" width="22.28515625" customWidth="1"/>
    <col min="3630" max="3631" width="17" customWidth="1"/>
    <col min="3632" max="3632" width="11" bestFit="1" customWidth="1"/>
    <col min="3634" max="3634" width="16.140625" bestFit="1" customWidth="1"/>
    <col min="3635" max="3635" width="15.140625" bestFit="1" customWidth="1"/>
    <col min="3842" max="3842" width="20" customWidth="1"/>
    <col min="3843" max="3843" width="16.140625" customWidth="1"/>
    <col min="3844" max="3844" width="18.28515625" customWidth="1"/>
    <col min="3845" max="3845" width="14.42578125" customWidth="1"/>
    <col min="3846" max="3846" width="18" customWidth="1"/>
    <col min="3847" max="3847" width="18.28515625" customWidth="1"/>
    <col min="3848" max="3848" width="16.140625" customWidth="1"/>
    <col min="3849" max="3849" width="18.28515625" customWidth="1"/>
    <col min="3850" max="3850" width="15.28515625" customWidth="1"/>
    <col min="3851" max="3851" width="18.28515625" customWidth="1"/>
    <col min="3852" max="3866" width="15.28515625" customWidth="1"/>
    <col min="3867" max="3867" width="21.42578125" customWidth="1"/>
    <col min="3868" max="3868" width="17.28515625" customWidth="1"/>
    <col min="3869" max="3869" width="18" customWidth="1"/>
    <col min="3870" max="3870" width="14" customWidth="1"/>
    <col min="3871" max="3871" width="16.42578125" customWidth="1"/>
    <col min="3872" max="3872" width="16.28515625" customWidth="1"/>
    <col min="3873" max="3874" width="16.42578125" customWidth="1"/>
    <col min="3875" max="3878" width="21.140625" customWidth="1"/>
    <col min="3879" max="3880" width="14.5703125" bestFit="1" customWidth="1"/>
    <col min="3881" max="3881" width="11.42578125" customWidth="1"/>
    <col min="3882" max="3882" width="17.28515625" bestFit="1" customWidth="1"/>
    <col min="3883" max="3884" width="26.28515625" customWidth="1"/>
    <col min="3885" max="3885" width="22.28515625" customWidth="1"/>
    <col min="3886" max="3887" width="17" customWidth="1"/>
    <col min="3888" max="3888" width="11" bestFit="1" customWidth="1"/>
    <col min="3890" max="3890" width="16.140625" bestFit="1" customWidth="1"/>
    <col min="3891" max="3891" width="15.140625" bestFit="1" customWidth="1"/>
    <col min="4098" max="4098" width="20" customWidth="1"/>
    <col min="4099" max="4099" width="16.140625" customWidth="1"/>
    <col min="4100" max="4100" width="18.28515625" customWidth="1"/>
    <col min="4101" max="4101" width="14.42578125" customWidth="1"/>
    <col min="4102" max="4102" width="18" customWidth="1"/>
    <col min="4103" max="4103" width="18.28515625" customWidth="1"/>
    <col min="4104" max="4104" width="16.140625" customWidth="1"/>
    <col min="4105" max="4105" width="18.28515625" customWidth="1"/>
    <col min="4106" max="4106" width="15.28515625" customWidth="1"/>
    <col min="4107" max="4107" width="18.28515625" customWidth="1"/>
    <col min="4108" max="4122" width="15.28515625" customWidth="1"/>
    <col min="4123" max="4123" width="21.42578125" customWidth="1"/>
    <col min="4124" max="4124" width="17.28515625" customWidth="1"/>
    <col min="4125" max="4125" width="18" customWidth="1"/>
    <col min="4126" max="4126" width="14" customWidth="1"/>
    <col min="4127" max="4127" width="16.42578125" customWidth="1"/>
    <col min="4128" max="4128" width="16.28515625" customWidth="1"/>
    <col min="4129" max="4130" width="16.42578125" customWidth="1"/>
    <col min="4131" max="4134" width="21.140625" customWidth="1"/>
    <col min="4135" max="4136" width="14.5703125" bestFit="1" customWidth="1"/>
    <col min="4137" max="4137" width="11.42578125" customWidth="1"/>
    <col min="4138" max="4138" width="17.28515625" bestFit="1" customWidth="1"/>
    <col min="4139" max="4140" width="26.28515625" customWidth="1"/>
    <col min="4141" max="4141" width="22.28515625" customWidth="1"/>
    <col min="4142" max="4143" width="17" customWidth="1"/>
    <col min="4144" max="4144" width="11" bestFit="1" customWidth="1"/>
    <col min="4146" max="4146" width="16.140625" bestFit="1" customWidth="1"/>
    <col min="4147" max="4147" width="15.140625" bestFit="1" customWidth="1"/>
    <col min="4354" max="4354" width="20" customWidth="1"/>
    <col min="4355" max="4355" width="16.140625" customWidth="1"/>
    <col min="4356" max="4356" width="18.28515625" customWidth="1"/>
    <col min="4357" max="4357" width="14.42578125" customWidth="1"/>
    <col min="4358" max="4358" width="18" customWidth="1"/>
    <col min="4359" max="4359" width="18.28515625" customWidth="1"/>
    <col min="4360" max="4360" width="16.140625" customWidth="1"/>
    <col min="4361" max="4361" width="18.28515625" customWidth="1"/>
    <col min="4362" max="4362" width="15.28515625" customWidth="1"/>
    <col min="4363" max="4363" width="18.28515625" customWidth="1"/>
    <col min="4364" max="4378" width="15.28515625" customWidth="1"/>
    <col min="4379" max="4379" width="21.42578125" customWidth="1"/>
    <col min="4380" max="4380" width="17.28515625" customWidth="1"/>
    <col min="4381" max="4381" width="18" customWidth="1"/>
    <col min="4382" max="4382" width="14" customWidth="1"/>
    <col min="4383" max="4383" width="16.42578125" customWidth="1"/>
    <col min="4384" max="4384" width="16.28515625" customWidth="1"/>
    <col min="4385" max="4386" width="16.42578125" customWidth="1"/>
    <col min="4387" max="4390" width="21.140625" customWidth="1"/>
    <col min="4391" max="4392" width="14.5703125" bestFit="1" customWidth="1"/>
    <col min="4393" max="4393" width="11.42578125" customWidth="1"/>
    <col min="4394" max="4394" width="17.28515625" bestFit="1" customWidth="1"/>
    <col min="4395" max="4396" width="26.28515625" customWidth="1"/>
    <col min="4397" max="4397" width="22.28515625" customWidth="1"/>
    <col min="4398" max="4399" width="17" customWidth="1"/>
    <col min="4400" max="4400" width="11" bestFit="1" customWidth="1"/>
    <col min="4402" max="4402" width="16.140625" bestFit="1" customWidth="1"/>
    <col min="4403" max="4403" width="15.140625" bestFit="1" customWidth="1"/>
    <col min="4610" max="4610" width="20" customWidth="1"/>
    <col min="4611" max="4611" width="16.140625" customWidth="1"/>
    <col min="4612" max="4612" width="18.28515625" customWidth="1"/>
    <col min="4613" max="4613" width="14.42578125" customWidth="1"/>
    <col min="4614" max="4614" width="18" customWidth="1"/>
    <col min="4615" max="4615" width="18.28515625" customWidth="1"/>
    <col min="4616" max="4616" width="16.140625" customWidth="1"/>
    <col min="4617" max="4617" width="18.28515625" customWidth="1"/>
    <col min="4618" max="4618" width="15.28515625" customWidth="1"/>
    <col min="4619" max="4619" width="18.28515625" customWidth="1"/>
    <col min="4620" max="4634" width="15.28515625" customWidth="1"/>
    <col min="4635" max="4635" width="21.42578125" customWidth="1"/>
    <col min="4636" max="4636" width="17.28515625" customWidth="1"/>
    <col min="4637" max="4637" width="18" customWidth="1"/>
    <col min="4638" max="4638" width="14" customWidth="1"/>
    <col min="4639" max="4639" width="16.42578125" customWidth="1"/>
    <col min="4640" max="4640" width="16.28515625" customWidth="1"/>
    <col min="4641" max="4642" width="16.42578125" customWidth="1"/>
    <col min="4643" max="4646" width="21.140625" customWidth="1"/>
    <col min="4647" max="4648" width="14.5703125" bestFit="1" customWidth="1"/>
    <col min="4649" max="4649" width="11.42578125" customWidth="1"/>
    <col min="4650" max="4650" width="17.28515625" bestFit="1" customWidth="1"/>
    <col min="4651" max="4652" width="26.28515625" customWidth="1"/>
    <col min="4653" max="4653" width="22.28515625" customWidth="1"/>
    <col min="4654" max="4655" width="17" customWidth="1"/>
    <col min="4656" max="4656" width="11" bestFit="1" customWidth="1"/>
    <col min="4658" max="4658" width="16.140625" bestFit="1" customWidth="1"/>
    <col min="4659" max="4659" width="15.140625" bestFit="1" customWidth="1"/>
    <col min="4866" max="4866" width="20" customWidth="1"/>
    <col min="4867" max="4867" width="16.140625" customWidth="1"/>
    <col min="4868" max="4868" width="18.28515625" customWidth="1"/>
    <col min="4869" max="4869" width="14.42578125" customWidth="1"/>
    <col min="4870" max="4870" width="18" customWidth="1"/>
    <col min="4871" max="4871" width="18.28515625" customWidth="1"/>
    <col min="4872" max="4872" width="16.140625" customWidth="1"/>
    <col min="4873" max="4873" width="18.28515625" customWidth="1"/>
    <col min="4874" max="4874" width="15.28515625" customWidth="1"/>
    <col min="4875" max="4875" width="18.28515625" customWidth="1"/>
    <col min="4876" max="4890" width="15.28515625" customWidth="1"/>
    <col min="4891" max="4891" width="21.42578125" customWidth="1"/>
    <col min="4892" max="4892" width="17.28515625" customWidth="1"/>
    <col min="4893" max="4893" width="18" customWidth="1"/>
    <col min="4894" max="4894" width="14" customWidth="1"/>
    <col min="4895" max="4895" width="16.42578125" customWidth="1"/>
    <col min="4896" max="4896" width="16.28515625" customWidth="1"/>
    <col min="4897" max="4898" width="16.42578125" customWidth="1"/>
    <col min="4899" max="4902" width="21.140625" customWidth="1"/>
    <col min="4903" max="4904" width="14.5703125" bestFit="1" customWidth="1"/>
    <col min="4905" max="4905" width="11.42578125" customWidth="1"/>
    <col min="4906" max="4906" width="17.28515625" bestFit="1" customWidth="1"/>
    <col min="4907" max="4908" width="26.28515625" customWidth="1"/>
    <col min="4909" max="4909" width="22.28515625" customWidth="1"/>
    <col min="4910" max="4911" width="17" customWidth="1"/>
    <col min="4912" max="4912" width="11" bestFit="1" customWidth="1"/>
    <col min="4914" max="4914" width="16.140625" bestFit="1" customWidth="1"/>
    <col min="4915" max="4915" width="15.140625" bestFit="1" customWidth="1"/>
    <col min="5122" max="5122" width="20" customWidth="1"/>
    <col min="5123" max="5123" width="16.140625" customWidth="1"/>
    <col min="5124" max="5124" width="18.28515625" customWidth="1"/>
    <col min="5125" max="5125" width="14.42578125" customWidth="1"/>
    <col min="5126" max="5126" width="18" customWidth="1"/>
    <col min="5127" max="5127" width="18.28515625" customWidth="1"/>
    <col min="5128" max="5128" width="16.140625" customWidth="1"/>
    <col min="5129" max="5129" width="18.28515625" customWidth="1"/>
    <col min="5130" max="5130" width="15.28515625" customWidth="1"/>
    <col min="5131" max="5131" width="18.28515625" customWidth="1"/>
    <col min="5132" max="5146" width="15.28515625" customWidth="1"/>
    <col min="5147" max="5147" width="21.42578125" customWidth="1"/>
    <col min="5148" max="5148" width="17.28515625" customWidth="1"/>
    <col min="5149" max="5149" width="18" customWidth="1"/>
    <col min="5150" max="5150" width="14" customWidth="1"/>
    <col min="5151" max="5151" width="16.42578125" customWidth="1"/>
    <col min="5152" max="5152" width="16.28515625" customWidth="1"/>
    <col min="5153" max="5154" width="16.42578125" customWidth="1"/>
    <col min="5155" max="5158" width="21.140625" customWidth="1"/>
    <col min="5159" max="5160" width="14.5703125" bestFit="1" customWidth="1"/>
    <col min="5161" max="5161" width="11.42578125" customWidth="1"/>
    <col min="5162" max="5162" width="17.28515625" bestFit="1" customWidth="1"/>
    <col min="5163" max="5164" width="26.28515625" customWidth="1"/>
    <col min="5165" max="5165" width="22.28515625" customWidth="1"/>
    <col min="5166" max="5167" width="17" customWidth="1"/>
    <col min="5168" max="5168" width="11" bestFit="1" customWidth="1"/>
    <col min="5170" max="5170" width="16.140625" bestFit="1" customWidth="1"/>
    <col min="5171" max="5171" width="15.140625" bestFit="1" customWidth="1"/>
    <col min="5378" max="5378" width="20" customWidth="1"/>
    <col min="5379" max="5379" width="16.140625" customWidth="1"/>
    <col min="5380" max="5380" width="18.28515625" customWidth="1"/>
    <col min="5381" max="5381" width="14.42578125" customWidth="1"/>
    <col min="5382" max="5382" width="18" customWidth="1"/>
    <col min="5383" max="5383" width="18.28515625" customWidth="1"/>
    <col min="5384" max="5384" width="16.140625" customWidth="1"/>
    <col min="5385" max="5385" width="18.28515625" customWidth="1"/>
    <col min="5386" max="5386" width="15.28515625" customWidth="1"/>
    <col min="5387" max="5387" width="18.28515625" customWidth="1"/>
    <col min="5388" max="5402" width="15.28515625" customWidth="1"/>
    <col min="5403" max="5403" width="21.42578125" customWidth="1"/>
    <col min="5404" max="5404" width="17.28515625" customWidth="1"/>
    <col min="5405" max="5405" width="18" customWidth="1"/>
    <col min="5406" max="5406" width="14" customWidth="1"/>
    <col min="5407" max="5407" width="16.42578125" customWidth="1"/>
    <col min="5408" max="5408" width="16.28515625" customWidth="1"/>
    <col min="5409" max="5410" width="16.42578125" customWidth="1"/>
    <col min="5411" max="5414" width="21.140625" customWidth="1"/>
    <col min="5415" max="5416" width="14.5703125" bestFit="1" customWidth="1"/>
    <col min="5417" max="5417" width="11.42578125" customWidth="1"/>
    <col min="5418" max="5418" width="17.28515625" bestFit="1" customWidth="1"/>
    <col min="5419" max="5420" width="26.28515625" customWidth="1"/>
    <col min="5421" max="5421" width="22.28515625" customWidth="1"/>
    <col min="5422" max="5423" width="17" customWidth="1"/>
    <col min="5424" max="5424" width="11" bestFit="1" customWidth="1"/>
    <col min="5426" max="5426" width="16.140625" bestFit="1" customWidth="1"/>
    <col min="5427" max="5427" width="15.140625" bestFit="1" customWidth="1"/>
    <col min="5634" max="5634" width="20" customWidth="1"/>
    <col min="5635" max="5635" width="16.140625" customWidth="1"/>
    <col min="5636" max="5636" width="18.28515625" customWidth="1"/>
    <col min="5637" max="5637" width="14.42578125" customWidth="1"/>
    <col min="5638" max="5638" width="18" customWidth="1"/>
    <col min="5639" max="5639" width="18.28515625" customWidth="1"/>
    <col min="5640" max="5640" width="16.140625" customWidth="1"/>
    <col min="5641" max="5641" width="18.28515625" customWidth="1"/>
    <col min="5642" max="5642" width="15.28515625" customWidth="1"/>
    <col min="5643" max="5643" width="18.28515625" customWidth="1"/>
    <col min="5644" max="5658" width="15.28515625" customWidth="1"/>
    <col min="5659" max="5659" width="21.42578125" customWidth="1"/>
    <col min="5660" max="5660" width="17.28515625" customWidth="1"/>
    <col min="5661" max="5661" width="18" customWidth="1"/>
    <col min="5662" max="5662" width="14" customWidth="1"/>
    <col min="5663" max="5663" width="16.42578125" customWidth="1"/>
    <col min="5664" max="5664" width="16.28515625" customWidth="1"/>
    <col min="5665" max="5666" width="16.42578125" customWidth="1"/>
    <col min="5667" max="5670" width="21.140625" customWidth="1"/>
    <col min="5671" max="5672" width="14.5703125" bestFit="1" customWidth="1"/>
    <col min="5673" max="5673" width="11.42578125" customWidth="1"/>
    <col min="5674" max="5674" width="17.28515625" bestFit="1" customWidth="1"/>
    <col min="5675" max="5676" width="26.28515625" customWidth="1"/>
    <col min="5677" max="5677" width="22.28515625" customWidth="1"/>
    <col min="5678" max="5679" width="17" customWidth="1"/>
    <col min="5680" max="5680" width="11" bestFit="1" customWidth="1"/>
    <col min="5682" max="5682" width="16.140625" bestFit="1" customWidth="1"/>
    <col min="5683" max="5683" width="15.140625" bestFit="1" customWidth="1"/>
    <col min="5890" max="5890" width="20" customWidth="1"/>
    <col min="5891" max="5891" width="16.140625" customWidth="1"/>
    <col min="5892" max="5892" width="18.28515625" customWidth="1"/>
    <col min="5893" max="5893" width="14.42578125" customWidth="1"/>
    <col min="5894" max="5894" width="18" customWidth="1"/>
    <col min="5895" max="5895" width="18.28515625" customWidth="1"/>
    <col min="5896" max="5896" width="16.140625" customWidth="1"/>
    <col min="5897" max="5897" width="18.28515625" customWidth="1"/>
    <col min="5898" max="5898" width="15.28515625" customWidth="1"/>
    <col min="5899" max="5899" width="18.28515625" customWidth="1"/>
    <col min="5900" max="5914" width="15.28515625" customWidth="1"/>
    <col min="5915" max="5915" width="21.42578125" customWidth="1"/>
    <col min="5916" max="5916" width="17.28515625" customWidth="1"/>
    <col min="5917" max="5917" width="18" customWidth="1"/>
    <col min="5918" max="5918" width="14" customWidth="1"/>
    <col min="5919" max="5919" width="16.42578125" customWidth="1"/>
    <col min="5920" max="5920" width="16.28515625" customWidth="1"/>
    <col min="5921" max="5922" width="16.42578125" customWidth="1"/>
    <col min="5923" max="5926" width="21.140625" customWidth="1"/>
    <col min="5927" max="5928" width="14.5703125" bestFit="1" customWidth="1"/>
    <col min="5929" max="5929" width="11.42578125" customWidth="1"/>
    <col min="5930" max="5930" width="17.28515625" bestFit="1" customWidth="1"/>
    <col min="5931" max="5932" width="26.28515625" customWidth="1"/>
    <col min="5933" max="5933" width="22.28515625" customWidth="1"/>
    <col min="5934" max="5935" width="17" customWidth="1"/>
    <col min="5936" max="5936" width="11" bestFit="1" customWidth="1"/>
    <col min="5938" max="5938" width="16.140625" bestFit="1" customWidth="1"/>
    <col min="5939" max="5939" width="15.140625" bestFit="1" customWidth="1"/>
    <col min="6146" max="6146" width="20" customWidth="1"/>
    <col min="6147" max="6147" width="16.140625" customWidth="1"/>
    <col min="6148" max="6148" width="18.28515625" customWidth="1"/>
    <col min="6149" max="6149" width="14.42578125" customWidth="1"/>
    <col min="6150" max="6150" width="18" customWidth="1"/>
    <col min="6151" max="6151" width="18.28515625" customWidth="1"/>
    <col min="6152" max="6152" width="16.140625" customWidth="1"/>
    <col min="6153" max="6153" width="18.28515625" customWidth="1"/>
    <col min="6154" max="6154" width="15.28515625" customWidth="1"/>
    <col min="6155" max="6155" width="18.28515625" customWidth="1"/>
    <col min="6156" max="6170" width="15.28515625" customWidth="1"/>
    <col min="6171" max="6171" width="21.42578125" customWidth="1"/>
    <col min="6172" max="6172" width="17.28515625" customWidth="1"/>
    <col min="6173" max="6173" width="18" customWidth="1"/>
    <col min="6174" max="6174" width="14" customWidth="1"/>
    <col min="6175" max="6175" width="16.42578125" customWidth="1"/>
    <col min="6176" max="6176" width="16.28515625" customWidth="1"/>
    <col min="6177" max="6178" width="16.42578125" customWidth="1"/>
    <col min="6179" max="6182" width="21.140625" customWidth="1"/>
    <col min="6183" max="6184" width="14.5703125" bestFit="1" customWidth="1"/>
    <col min="6185" max="6185" width="11.42578125" customWidth="1"/>
    <col min="6186" max="6186" width="17.28515625" bestFit="1" customWidth="1"/>
    <col min="6187" max="6188" width="26.28515625" customWidth="1"/>
    <col min="6189" max="6189" width="22.28515625" customWidth="1"/>
    <col min="6190" max="6191" width="17" customWidth="1"/>
    <col min="6192" max="6192" width="11" bestFit="1" customWidth="1"/>
    <col min="6194" max="6194" width="16.140625" bestFit="1" customWidth="1"/>
    <col min="6195" max="6195" width="15.140625" bestFit="1" customWidth="1"/>
    <col min="6402" max="6402" width="20" customWidth="1"/>
    <col min="6403" max="6403" width="16.140625" customWidth="1"/>
    <col min="6404" max="6404" width="18.28515625" customWidth="1"/>
    <col min="6405" max="6405" width="14.42578125" customWidth="1"/>
    <col min="6406" max="6406" width="18" customWidth="1"/>
    <col min="6407" max="6407" width="18.28515625" customWidth="1"/>
    <col min="6408" max="6408" width="16.140625" customWidth="1"/>
    <col min="6409" max="6409" width="18.28515625" customWidth="1"/>
    <col min="6410" max="6410" width="15.28515625" customWidth="1"/>
    <col min="6411" max="6411" width="18.28515625" customWidth="1"/>
    <col min="6412" max="6426" width="15.28515625" customWidth="1"/>
    <col min="6427" max="6427" width="21.42578125" customWidth="1"/>
    <col min="6428" max="6428" width="17.28515625" customWidth="1"/>
    <col min="6429" max="6429" width="18" customWidth="1"/>
    <col min="6430" max="6430" width="14" customWidth="1"/>
    <col min="6431" max="6431" width="16.42578125" customWidth="1"/>
    <col min="6432" max="6432" width="16.28515625" customWidth="1"/>
    <col min="6433" max="6434" width="16.42578125" customWidth="1"/>
    <col min="6435" max="6438" width="21.140625" customWidth="1"/>
    <col min="6439" max="6440" width="14.5703125" bestFit="1" customWidth="1"/>
    <col min="6441" max="6441" width="11.42578125" customWidth="1"/>
    <col min="6442" max="6442" width="17.28515625" bestFit="1" customWidth="1"/>
    <col min="6443" max="6444" width="26.28515625" customWidth="1"/>
    <col min="6445" max="6445" width="22.28515625" customWidth="1"/>
    <col min="6446" max="6447" width="17" customWidth="1"/>
    <col min="6448" max="6448" width="11" bestFit="1" customWidth="1"/>
    <col min="6450" max="6450" width="16.140625" bestFit="1" customWidth="1"/>
    <col min="6451" max="6451" width="15.140625" bestFit="1" customWidth="1"/>
    <col min="6658" max="6658" width="20" customWidth="1"/>
    <col min="6659" max="6659" width="16.140625" customWidth="1"/>
    <col min="6660" max="6660" width="18.28515625" customWidth="1"/>
    <col min="6661" max="6661" width="14.42578125" customWidth="1"/>
    <col min="6662" max="6662" width="18" customWidth="1"/>
    <col min="6663" max="6663" width="18.28515625" customWidth="1"/>
    <col min="6664" max="6664" width="16.140625" customWidth="1"/>
    <col min="6665" max="6665" width="18.28515625" customWidth="1"/>
    <col min="6666" max="6666" width="15.28515625" customWidth="1"/>
    <col min="6667" max="6667" width="18.28515625" customWidth="1"/>
    <col min="6668" max="6682" width="15.28515625" customWidth="1"/>
    <col min="6683" max="6683" width="21.42578125" customWidth="1"/>
    <col min="6684" max="6684" width="17.28515625" customWidth="1"/>
    <col min="6685" max="6685" width="18" customWidth="1"/>
    <col min="6686" max="6686" width="14" customWidth="1"/>
    <col min="6687" max="6687" width="16.42578125" customWidth="1"/>
    <col min="6688" max="6688" width="16.28515625" customWidth="1"/>
    <col min="6689" max="6690" width="16.42578125" customWidth="1"/>
    <col min="6691" max="6694" width="21.140625" customWidth="1"/>
    <col min="6695" max="6696" width="14.5703125" bestFit="1" customWidth="1"/>
    <col min="6697" max="6697" width="11.42578125" customWidth="1"/>
    <col min="6698" max="6698" width="17.28515625" bestFit="1" customWidth="1"/>
    <col min="6699" max="6700" width="26.28515625" customWidth="1"/>
    <col min="6701" max="6701" width="22.28515625" customWidth="1"/>
    <col min="6702" max="6703" width="17" customWidth="1"/>
    <col min="6704" max="6704" width="11" bestFit="1" customWidth="1"/>
    <col min="6706" max="6706" width="16.140625" bestFit="1" customWidth="1"/>
    <col min="6707" max="6707" width="15.140625" bestFit="1" customWidth="1"/>
    <col min="6914" max="6914" width="20" customWidth="1"/>
    <col min="6915" max="6915" width="16.140625" customWidth="1"/>
    <col min="6916" max="6916" width="18.28515625" customWidth="1"/>
    <col min="6917" max="6917" width="14.42578125" customWidth="1"/>
    <col min="6918" max="6918" width="18" customWidth="1"/>
    <col min="6919" max="6919" width="18.28515625" customWidth="1"/>
    <col min="6920" max="6920" width="16.140625" customWidth="1"/>
    <col min="6921" max="6921" width="18.28515625" customWidth="1"/>
    <col min="6922" max="6922" width="15.28515625" customWidth="1"/>
    <col min="6923" max="6923" width="18.28515625" customWidth="1"/>
    <col min="6924" max="6938" width="15.28515625" customWidth="1"/>
    <col min="6939" max="6939" width="21.42578125" customWidth="1"/>
    <col min="6940" max="6940" width="17.28515625" customWidth="1"/>
    <col min="6941" max="6941" width="18" customWidth="1"/>
    <col min="6942" max="6942" width="14" customWidth="1"/>
    <col min="6943" max="6943" width="16.42578125" customWidth="1"/>
    <col min="6944" max="6944" width="16.28515625" customWidth="1"/>
    <col min="6945" max="6946" width="16.42578125" customWidth="1"/>
    <col min="6947" max="6950" width="21.140625" customWidth="1"/>
    <col min="6951" max="6952" width="14.5703125" bestFit="1" customWidth="1"/>
    <col min="6953" max="6953" width="11.42578125" customWidth="1"/>
    <col min="6954" max="6954" width="17.28515625" bestFit="1" customWidth="1"/>
    <col min="6955" max="6956" width="26.28515625" customWidth="1"/>
    <col min="6957" max="6957" width="22.28515625" customWidth="1"/>
    <col min="6958" max="6959" width="17" customWidth="1"/>
    <col min="6960" max="6960" width="11" bestFit="1" customWidth="1"/>
    <col min="6962" max="6962" width="16.140625" bestFit="1" customWidth="1"/>
    <col min="6963" max="6963" width="15.140625" bestFit="1" customWidth="1"/>
    <col min="7170" max="7170" width="20" customWidth="1"/>
    <col min="7171" max="7171" width="16.140625" customWidth="1"/>
    <col min="7172" max="7172" width="18.28515625" customWidth="1"/>
    <col min="7173" max="7173" width="14.42578125" customWidth="1"/>
    <col min="7174" max="7174" width="18" customWidth="1"/>
    <col min="7175" max="7175" width="18.28515625" customWidth="1"/>
    <col min="7176" max="7176" width="16.140625" customWidth="1"/>
    <col min="7177" max="7177" width="18.28515625" customWidth="1"/>
    <col min="7178" max="7178" width="15.28515625" customWidth="1"/>
    <col min="7179" max="7179" width="18.28515625" customWidth="1"/>
    <col min="7180" max="7194" width="15.28515625" customWidth="1"/>
    <col min="7195" max="7195" width="21.42578125" customWidth="1"/>
    <col min="7196" max="7196" width="17.28515625" customWidth="1"/>
    <col min="7197" max="7197" width="18" customWidth="1"/>
    <col min="7198" max="7198" width="14" customWidth="1"/>
    <col min="7199" max="7199" width="16.42578125" customWidth="1"/>
    <col min="7200" max="7200" width="16.28515625" customWidth="1"/>
    <col min="7201" max="7202" width="16.42578125" customWidth="1"/>
    <col min="7203" max="7206" width="21.140625" customWidth="1"/>
    <col min="7207" max="7208" width="14.5703125" bestFit="1" customWidth="1"/>
    <col min="7209" max="7209" width="11.42578125" customWidth="1"/>
    <col min="7210" max="7210" width="17.28515625" bestFit="1" customWidth="1"/>
    <col min="7211" max="7212" width="26.28515625" customWidth="1"/>
    <col min="7213" max="7213" width="22.28515625" customWidth="1"/>
    <col min="7214" max="7215" width="17" customWidth="1"/>
    <col min="7216" max="7216" width="11" bestFit="1" customWidth="1"/>
    <col min="7218" max="7218" width="16.140625" bestFit="1" customWidth="1"/>
    <col min="7219" max="7219" width="15.140625" bestFit="1" customWidth="1"/>
    <col min="7426" max="7426" width="20" customWidth="1"/>
    <col min="7427" max="7427" width="16.140625" customWidth="1"/>
    <col min="7428" max="7428" width="18.28515625" customWidth="1"/>
    <col min="7429" max="7429" width="14.42578125" customWidth="1"/>
    <col min="7430" max="7430" width="18" customWidth="1"/>
    <col min="7431" max="7431" width="18.28515625" customWidth="1"/>
    <col min="7432" max="7432" width="16.140625" customWidth="1"/>
    <col min="7433" max="7433" width="18.28515625" customWidth="1"/>
    <col min="7434" max="7434" width="15.28515625" customWidth="1"/>
    <col min="7435" max="7435" width="18.28515625" customWidth="1"/>
    <col min="7436" max="7450" width="15.28515625" customWidth="1"/>
    <col min="7451" max="7451" width="21.42578125" customWidth="1"/>
    <col min="7452" max="7452" width="17.28515625" customWidth="1"/>
    <col min="7453" max="7453" width="18" customWidth="1"/>
    <col min="7454" max="7454" width="14" customWidth="1"/>
    <col min="7455" max="7455" width="16.42578125" customWidth="1"/>
    <col min="7456" max="7456" width="16.28515625" customWidth="1"/>
    <col min="7457" max="7458" width="16.42578125" customWidth="1"/>
    <col min="7459" max="7462" width="21.140625" customWidth="1"/>
    <col min="7463" max="7464" width="14.5703125" bestFit="1" customWidth="1"/>
    <col min="7465" max="7465" width="11.42578125" customWidth="1"/>
    <col min="7466" max="7466" width="17.28515625" bestFit="1" customWidth="1"/>
    <col min="7467" max="7468" width="26.28515625" customWidth="1"/>
    <col min="7469" max="7469" width="22.28515625" customWidth="1"/>
    <col min="7470" max="7471" width="17" customWidth="1"/>
    <col min="7472" max="7472" width="11" bestFit="1" customWidth="1"/>
    <col min="7474" max="7474" width="16.140625" bestFit="1" customWidth="1"/>
    <col min="7475" max="7475" width="15.140625" bestFit="1" customWidth="1"/>
    <col min="7682" max="7682" width="20" customWidth="1"/>
    <col min="7683" max="7683" width="16.140625" customWidth="1"/>
    <col min="7684" max="7684" width="18.28515625" customWidth="1"/>
    <col min="7685" max="7685" width="14.42578125" customWidth="1"/>
    <col min="7686" max="7686" width="18" customWidth="1"/>
    <col min="7687" max="7687" width="18.28515625" customWidth="1"/>
    <col min="7688" max="7688" width="16.140625" customWidth="1"/>
    <col min="7689" max="7689" width="18.28515625" customWidth="1"/>
    <col min="7690" max="7690" width="15.28515625" customWidth="1"/>
    <col min="7691" max="7691" width="18.28515625" customWidth="1"/>
    <col min="7692" max="7706" width="15.28515625" customWidth="1"/>
    <col min="7707" max="7707" width="21.42578125" customWidth="1"/>
    <col min="7708" max="7708" width="17.28515625" customWidth="1"/>
    <col min="7709" max="7709" width="18" customWidth="1"/>
    <col min="7710" max="7710" width="14" customWidth="1"/>
    <col min="7711" max="7711" width="16.42578125" customWidth="1"/>
    <col min="7712" max="7712" width="16.28515625" customWidth="1"/>
    <col min="7713" max="7714" width="16.42578125" customWidth="1"/>
    <col min="7715" max="7718" width="21.140625" customWidth="1"/>
    <col min="7719" max="7720" width="14.5703125" bestFit="1" customWidth="1"/>
    <col min="7721" max="7721" width="11.42578125" customWidth="1"/>
    <col min="7722" max="7722" width="17.28515625" bestFit="1" customWidth="1"/>
    <col min="7723" max="7724" width="26.28515625" customWidth="1"/>
    <col min="7725" max="7725" width="22.28515625" customWidth="1"/>
    <col min="7726" max="7727" width="17" customWidth="1"/>
    <col min="7728" max="7728" width="11" bestFit="1" customWidth="1"/>
    <col min="7730" max="7730" width="16.140625" bestFit="1" customWidth="1"/>
    <col min="7731" max="7731" width="15.140625" bestFit="1" customWidth="1"/>
    <col min="7938" max="7938" width="20" customWidth="1"/>
    <col min="7939" max="7939" width="16.140625" customWidth="1"/>
    <col min="7940" max="7940" width="18.28515625" customWidth="1"/>
    <col min="7941" max="7941" width="14.42578125" customWidth="1"/>
    <col min="7942" max="7942" width="18" customWidth="1"/>
    <col min="7943" max="7943" width="18.28515625" customWidth="1"/>
    <col min="7944" max="7944" width="16.140625" customWidth="1"/>
    <col min="7945" max="7945" width="18.28515625" customWidth="1"/>
    <col min="7946" max="7946" width="15.28515625" customWidth="1"/>
    <col min="7947" max="7947" width="18.28515625" customWidth="1"/>
    <col min="7948" max="7962" width="15.28515625" customWidth="1"/>
    <col min="7963" max="7963" width="21.42578125" customWidth="1"/>
    <col min="7964" max="7964" width="17.28515625" customWidth="1"/>
    <col min="7965" max="7965" width="18" customWidth="1"/>
    <col min="7966" max="7966" width="14" customWidth="1"/>
    <col min="7967" max="7967" width="16.42578125" customWidth="1"/>
    <col min="7968" max="7968" width="16.28515625" customWidth="1"/>
    <col min="7969" max="7970" width="16.42578125" customWidth="1"/>
    <col min="7971" max="7974" width="21.140625" customWidth="1"/>
    <col min="7975" max="7976" width="14.5703125" bestFit="1" customWidth="1"/>
    <col min="7977" max="7977" width="11.42578125" customWidth="1"/>
    <col min="7978" max="7978" width="17.28515625" bestFit="1" customWidth="1"/>
    <col min="7979" max="7980" width="26.28515625" customWidth="1"/>
    <col min="7981" max="7981" width="22.28515625" customWidth="1"/>
    <col min="7982" max="7983" width="17" customWidth="1"/>
    <col min="7984" max="7984" width="11" bestFit="1" customWidth="1"/>
    <col min="7986" max="7986" width="16.140625" bestFit="1" customWidth="1"/>
    <col min="7987" max="7987" width="15.140625" bestFit="1" customWidth="1"/>
    <col min="8194" max="8194" width="20" customWidth="1"/>
    <col min="8195" max="8195" width="16.140625" customWidth="1"/>
    <col min="8196" max="8196" width="18.28515625" customWidth="1"/>
    <col min="8197" max="8197" width="14.42578125" customWidth="1"/>
    <col min="8198" max="8198" width="18" customWidth="1"/>
    <col min="8199" max="8199" width="18.28515625" customWidth="1"/>
    <col min="8200" max="8200" width="16.140625" customWidth="1"/>
    <col min="8201" max="8201" width="18.28515625" customWidth="1"/>
    <col min="8202" max="8202" width="15.28515625" customWidth="1"/>
    <col min="8203" max="8203" width="18.28515625" customWidth="1"/>
    <col min="8204" max="8218" width="15.28515625" customWidth="1"/>
    <col min="8219" max="8219" width="21.42578125" customWidth="1"/>
    <col min="8220" max="8220" width="17.28515625" customWidth="1"/>
    <col min="8221" max="8221" width="18" customWidth="1"/>
    <col min="8222" max="8222" width="14" customWidth="1"/>
    <col min="8223" max="8223" width="16.42578125" customWidth="1"/>
    <col min="8224" max="8224" width="16.28515625" customWidth="1"/>
    <col min="8225" max="8226" width="16.42578125" customWidth="1"/>
    <col min="8227" max="8230" width="21.140625" customWidth="1"/>
    <col min="8231" max="8232" width="14.5703125" bestFit="1" customWidth="1"/>
    <col min="8233" max="8233" width="11.42578125" customWidth="1"/>
    <col min="8234" max="8234" width="17.28515625" bestFit="1" customWidth="1"/>
    <col min="8235" max="8236" width="26.28515625" customWidth="1"/>
    <col min="8237" max="8237" width="22.28515625" customWidth="1"/>
    <col min="8238" max="8239" width="17" customWidth="1"/>
    <col min="8240" max="8240" width="11" bestFit="1" customWidth="1"/>
    <col min="8242" max="8242" width="16.140625" bestFit="1" customWidth="1"/>
    <col min="8243" max="8243" width="15.140625" bestFit="1" customWidth="1"/>
    <col min="8450" max="8450" width="20" customWidth="1"/>
    <col min="8451" max="8451" width="16.140625" customWidth="1"/>
    <col min="8452" max="8452" width="18.28515625" customWidth="1"/>
    <col min="8453" max="8453" width="14.42578125" customWidth="1"/>
    <col min="8454" max="8454" width="18" customWidth="1"/>
    <col min="8455" max="8455" width="18.28515625" customWidth="1"/>
    <col min="8456" max="8456" width="16.140625" customWidth="1"/>
    <col min="8457" max="8457" width="18.28515625" customWidth="1"/>
    <col min="8458" max="8458" width="15.28515625" customWidth="1"/>
    <col min="8459" max="8459" width="18.28515625" customWidth="1"/>
    <col min="8460" max="8474" width="15.28515625" customWidth="1"/>
    <col min="8475" max="8475" width="21.42578125" customWidth="1"/>
    <col min="8476" max="8476" width="17.28515625" customWidth="1"/>
    <col min="8477" max="8477" width="18" customWidth="1"/>
    <col min="8478" max="8478" width="14" customWidth="1"/>
    <col min="8479" max="8479" width="16.42578125" customWidth="1"/>
    <col min="8480" max="8480" width="16.28515625" customWidth="1"/>
    <col min="8481" max="8482" width="16.42578125" customWidth="1"/>
    <col min="8483" max="8486" width="21.140625" customWidth="1"/>
    <col min="8487" max="8488" width="14.5703125" bestFit="1" customWidth="1"/>
    <col min="8489" max="8489" width="11.42578125" customWidth="1"/>
    <col min="8490" max="8490" width="17.28515625" bestFit="1" customWidth="1"/>
    <col min="8491" max="8492" width="26.28515625" customWidth="1"/>
    <col min="8493" max="8493" width="22.28515625" customWidth="1"/>
    <col min="8494" max="8495" width="17" customWidth="1"/>
    <col min="8496" max="8496" width="11" bestFit="1" customWidth="1"/>
    <col min="8498" max="8498" width="16.140625" bestFit="1" customWidth="1"/>
    <col min="8499" max="8499" width="15.140625" bestFit="1" customWidth="1"/>
    <col min="8706" max="8706" width="20" customWidth="1"/>
    <col min="8707" max="8707" width="16.140625" customWidth="1"/>
    <col min="8708" max="8708" width="18.28515625" customWidth="1"/>
    <col min="8709" max="8709" width="14.42578125" customWidth="1"/>
    <col min="8710" max="8710" width="18" customWidth="1"/>
    <col min="8711" max="8711" width="18.28515625" customWidth="1"/>
    <col min="8712" max="8712" width="16.140625" customWidth="1"/>
    <col min="8713" max="8713" width="18.28515625" customWidth="1"/>
    <col min="8714" max="8714" width="15.28515625" customWidth="1"/>
    <col min="8715" max="8715" width="18.28515625" customWidth="1"/>
    <col min="8716" max="8730" width="15.28515625" customWidth="1"/>
    <col min="8731" max="8731" width="21.42578125" customWidth="1"/>
    <col min="8732" max="8732" width="17.28515625" customWidth="1"/>
    <col min="8733" max="8733" width="18" customWidth="1"/>
    <col min="8734" max="8734" width="14" customWidth="1"/>
    <col min="8735" max="8735" width="16.42578125" customWidth="1"/>
    <col min="8736" max="8736" width="16.28515625" customWidth="1"/>
    <col min="8737" max="8738" width="16.42578125" customWidth="1"/>
    <col min="8739" max="8742" width="21.140625" customWidth="1"/>
    <col min="8743" max="8744" width="14.5703125" bestFit="1" customWidth="1"/>
    <col min="8745" max="8745" width="11.42578125" customWidth="1"/>
    <col min="8746" max="8746" width="17.28515625" bestFit="1" customWidth="1"/>
    <col min="8747" max="8748" width="26.28515625" customWidth="1"/>
    <col min="8749" max="8749" width="22.28515625" customWidth="1"/>
    <col min="8750" max="8751" width="17" customWidth="1"/>
    <col min="8752" max="8752" width="11" bestFit="1" customWidth="1"/>
    <col min="8754" max="8754" width="16.140625" bestFit="1" customWidth="1"/>
    <col min="8755" max="8755" width="15.140625" bestFit="1" customWidth="1"/>
    <col min="8962" max="8962" width="20" customWidth="1"/>
    <col min="8963" max="8963" width="16.140625" customWidth="1"/>
    <col min="8964" max="8964" width="18.28515625" customWidth="1"/>
    <col min="8965" max="8965" width="14.42578125" customWidth="1"/>
    <col min="8966" max="8966" width="18" customWidth="1"/>
    <col min="8967" max="8967" width="18.28515625" customWidth="1"/>
    <col min="8968" max="8968" width="16.140625" customWidth="1"/>
    <col min="8969" max="8969" width="18.28515625" customWidth="1"/>
    <col min="8970" max="8970" width="15.28515625" customWidth="1"/>
    <col min="8971" max="8971" width="18.28515625" customWidth="1"/>
    <col min="8972" max="8986" width="15.28515625" customWidth="1"/>
    <col min="8987" max="8987" width="21.42578125" customWidth="1"/>
    <col min="8988" max="8988" width="17.28515625" customWidth="1"/>
    <col min="8989" max="8989" width="18" customWidth="1"/>
    <col min="8990" max="8990" width="14" customWidth="1"/>
    <col min="8991" max="8991" width="16.42578125" customWidth="1"/>
    <col min="8992" max="8992" width="16.28515625" customWidth="1"/>
    <col min="8993" max="8994" width="16.42578125" customWidth="1"/>
    <col min="8995" max="8998" width="21.140625" customWidth="1"/>
    <col min="8999" max="9000" width="14.5703125" bestFit="1" customWidth="1"/>
    <col min="9001" max="9001" width="11.42578125" customWidth="1"/>
    <col min="9002" max="9002" width="17.28515625" bestFit="1" customWidth="1"/>
    <col min="9003" max="9004" width="26.28515625" customWidth="1"/>
    <col min="9005" max="9005" width="22.28515625" customWidth="1"/>
    <col min="9006" max="9007" width="17" customWidth="1"/>
    <col min="9008" max="9008" width="11" bestFit="1" customWidth="1"/>
    <col min="9010" max="9010" width="16.140625" bestFit="1" customWidth="1"/>
    <col min="9011" max="9011" width="15.140625" bestFit="1" customWidth="1"/>
    <col min="9218" max="9218" width="20" customWidth="1"/>
    <col min="9219" max="9219" width="16.140625" customWidth="1"/>
    <col min="9220" max="9220" width="18.28515625" customWidth="1"/>
    <col min="9221" max="9221" width="14.42578125" customWidth="1"/>
    <col min="9222" max="9222" width="18" customWidth="1"/>
    <col min="9223" max="9223" width="18.28515625" customWidth="1"/>
    <col min="9224" max="9224" width="16.140625" customWidth="1"/>
    <col min="9225" max="9225" width="18.28515625" customWidth="1"/>
    <col min="9226" max="9226" width="15.28515625" customWidth="1"/>
    <col min="9227" max="9227" width="18.28515625" customWidth="1"/>
    <col min="9228" max="9242" width="15.28515625" customWidth="1"/>
    <col min="9243" max="9243" width="21.42578125" customWidth="1"/>
    <col min="9244" max="9244" width="17.28515625" customWidth="1"/>
    <col min="9245" max="9245" width="18" customWidth="1"/>
    <col min="9246" max="9246" width="14" customWidth="1"/>
    <col min="9247" max="9247" width="16.42578125" customWidth="1"/>
    <col min="9248" max="9248" width="16.28515625" customWidth="1"/>
    <col min="9249" max="9250" width="16.42578125" customWidth="1"/>
    <col min="9251" max="9254" width="21.140625" customWidth="1"/>
    <col min="9255" max="9256" width="14.5703125" bestFit="1" customWidth="1"/>
    <col min="9257" max="9257" width="11.42578125" customWidth="1"/>
    <col min="9258" max="9258" width="17.28515625" bestFit="1" customWidth="1"/>
    <col min="9259" max="9260" width="26.28515625" customWidth="1"/>
    <col min="9261" max="9261" width="22.28515625" customWidth="1"/>
    <col min="9262" max="9263" width="17" customWidth="1"/>
    <col min="9264" max="9264" width="11" bestFit="1" customWidth="1"/>
    <col min="9266" max="9266" width="16.140625" bestFit="1" customWidth="1"/>
    <col min="9267" max="9267" width="15.140625" bestFit="1" customWidth="1"/>
    <col min="9474" max="9474" width="20" customWidth="1"/>
    <col min="9475" max="9475" width="16.140625" customWidth="1"/>
    <col min="9476" max="9476" width="18.28515625" customWidth="1"/>
    <col min="9477" max="9477" width="14.42578125" customWidth="1"/>
    <col min="9478" max="9478" width="18" customWidth="1"/>
    <col min="9479" max="9479" width="18.28515625" customWidth="1"/>
    <col min="9480" max="9480" width="16.140625" customWidth="1"/>
    <col min="9481" max="9481" width="18.28515625" customWidth="1"/>
    <col min="9482" max="9482" width="15.28515625" customWidth="1"/>
    <col min="9483" max="9483" width="18.28515625" customWidth="1"/>
    <col min="9484" max="9498" width="15.28515625" customWidth="1"/>
    <col min="9499" max="9499" width="21.42578125" customWidth="1"/>
    <col min="9500" max="9500" width="17.28515625" customWidth="1"/>
    <col min="9501" max="9501" width="18" customWidth="1"/>
    <col min="9502" max="9502" width="14" customWidth="1"/>
    <col min="9503" max="9503" width="16.42578125" customWidth="1"/>
    <col min="9504" max="9504" width="16.28515625" customWidth="1"/>
    <col min="9505" max="9506" width="16.42578125" customWidth="1"/>
    <col min="9507" max="9510" width="21.140625" customWidth="1"/>
    <col min="9511" max="9512" width="14.5703125" bestFit="1" customWidth="1"/>
    <col min="9513" max="9513" width="11.42578125" customWidth="1"/>
    <col min="9514" max="9514" width="17.28515625" bestFit="1" customWidth="1"/>
    <col min="9515" max="9516" width="26.28515625" customWidth="1"/>
    <col min="9517" max="9517" width="22.28515625" customWidth="1"/>
    <col min="9518" max="9519" width="17" customWidth="1"/>
    <col min="9520" max="9520" width="11" bestFit="1" customWidth="1"/>
    <col min="9522" max="9522" width="16.140625" bestFit="1" customWidth="1"/>
    <col min="9523" max="9523" width="15.140625" bestFit="1" customWidth="1"/>
    <col min="9730" max="9730" width="20" customWidth="1"/>
    <col min="9731" max="9731" width="16.140625" customWidth="1"/>
    <col min="9732" max="9732" width="18.28515625" customWidth="1"/>
    <col min="9733" max="9733" width="14.42578125" customWidth="1"/>
    <col min="9734" max="9734" width="18" customWidth="1"/>
    <col min="9735" max="9735" width="18.28515625" customWidth="1"/>
    <col min="9736" max="9736" width="16.140625" customWidth="1"/>
    <col min="9737" max="9737" width="18.28515625" customWidth="1"/>
    <col min="9738" max="9738" width="15.28515625" customWidth="1"/>
    <col min="9739" max="9739" width="18.28515625" customWidth="1"/>
    <col min="9740" max="9754" width="15.28515625" customWidth="1"/>
    <col min="9755" max="9755" width="21.42578125" customWidth="1"/>
    <col min="9756" max="9756" width="17.28515625" customWidth="1"/>
    <col min="9757" max="9757" width="18" customWidth="1"/>
    <col min="9758" max="9758" width="14" customWidth="1"/>
    <col min="9759" max="9759" width="16.42578125" customWidth="1"/>
    <col min="9760" max="9760" width="16.28515625" customWidth="1"/>
    <col min="9761" max="9762" width="16.42578125" customWidth="1"/>
    <col min="9763" max="9766" width="21.140625" customWidth="1"/>
    <col min="9767" max="9768" width="14.5703125" bestFit="1" customWidth="1"/>
    <col min="9769" max="9769" width="11.42578125" customWidth="1"/>
    <col min="9770" max="9770" width="17.28515625" bestFit="1" customWidth="1"/>
    <col min="9771" max="9772" width="26.28515625" customWidth="1"/>
    <col min="9773" max="9773" width="22.28515625" customWidth="1"/>
    <col min="9774" max="9775" width="17" customWidth="1"/>
    <col min="9776" max="9776" width="11" bestFit="1" customWidth="1"/>
    <col min="9778" max="9778" width="16.140625" bestFit="1" customWidth="1"/>
    <col min="9779" max="9779" width="15.140625" bestFit="1" customWidth="1"/>
    <col min="9986" max="9986" width="20" customWidth="1"/>
    <col min="9987" max="9987" width="16.140625" customWidth="1"/>
    <col min="9988" max="9988" width="18.28515625" customWidth="1"/>
    <col min="9989" max="9989" width="14.42578125" customWidth="1"/>
    <col min="9990" max="9990" width="18" customWidth="1"/>
    <col min="9991" max="9991" width="18.28515625" customWidth="1"/>
    <col min="9992" max="9992" width="16.140625" customWidth="1"/>
    <col min="9993" max="9993" width="18.28515625" customWidth="1"/>
    <col min="9994" max="9994" width="15.28515625" customWidth="1"/>
    <col min="9995" max="9995" width="18.28515625" customWidth="1"/>
    <col min="9996" max="10010" width="15.28515625" customWidth="1"/>
    <col min="10011" max="10011" width="21.42578125" customWidth="1"/>
    <col min="10012" max="10012" width="17.28515625" customWidth="1"/>
    <col min="10013" max="10013" width="18" customWidth="1"/>
    <col min="10014" max="10014" width="14" customWidth="1"/>
    <col min="10015" max="10015" width="16.42578125" customWidth="1"/>
    <col min="10016" max="10016" width="16.28515625" customWidth="1"/>
    <col min="10017" max="10018" width="16.42578125" customWidth="1"/>
    <col min="10019" max="10022" width="21.140625" customWidth="1"/>
    <col min="10023" max="10024" width="14.5703125" bestFit="1" customWidth="1"/>
    <col min="10025" max="10025" width="11.42578125" customWidth="1"/>
    <col min="10026" max="10026" width="17.28515625" bestFit="1" customWidth="1"/>
    <col min="10027" max="10028" width="26.28515625" customWidth="1"/>
    <col min="10029" max="10029" width="22.28515625" customWidth="1"/>
    <col min="10030" max="10031" width="17" customWidth="1"/>
    <col min="10032" max="10032" width="11" bestFit="1" customWidth="1"/>
    <col min="10034" max="10034" width="16.140625" bestFit="1" customWidth="1"/>
    <col min="10035" max="10035" width="15.140625" bestFit="1" customWidth="1"/>
    <col min="10242" max="10242" width="20" customWidth="1"/>
    <col min="10243" max="10243" width="16.140625" customWidth="1"/>
    <col min="10244" max="10244" width="18.28515625" customWidth="1"/>
    <col min="10245" max="10245" width="14.42578125" customWidth="1"/>
    <col min="10246" max="10246" width="18" customWidth="1"/>
    <col min="10247" max="10247" width="18.28515625" customWidth="1"/>
    <col min="10248" max="10248" width="16.140625" customWidth="1"/>
    <col min="10249" max="10249" width="18.28515625" customWidth="1"/>
    <col min="10250" max="10250" width="15.28515625" customWidth="1"/>
    <col min="10251" max="10251" width="18.28515625" customWidth="1"/>
    <col min="10252" max="10266" width="15.28515625" customWidth="1"/>
    <col min="10267" max="10267" width="21.42578125" customWidth="1"/>
    <col min="10268" max="10268" width="17.28515625" customWidth="1"/>
    <col min="10269" max="10269" width="18" customWidth="1"/>
    <col min="10270" max="10270" width="14" customWidth="1"/>
    <col min="10271" max="10271" width="16.42578125" customWidth="1"/>
    <col min="10272" max="10272" width="16.28515625" customWidth="1"/>
    <col min="10273" max="10274" width="16.42578125" customWidth="1"/>
    <col min="10275" max="10278" width="21.140625" customWidth="1"/>
    <col min="10279" max="10280" width="14.5703125" bestFit="1" customWidth="1"/>
    <col min="10281" max="10281" width="11.42578125" customWidth="1"/>
    <col min="10282" max="10282" width="17.28515625" bestFit="1" customWidth="1"/>
    <col min="10283" max="10284" width="26.28515625" customWidth="1"/>
    <col min="10285" max="10285" width="22.28515625" customWidth="1"/>
    <col min="10286" max="10287" width="17" customWidth="1"/>
    <col min="10288" max="10288" width="11" bestFit="1" customWidth="1"/>
    <col min="10290" max="10290" width="16.140625" bestFit="1" customWidth="1"/>
    <col min="10291" max="10291" width="15.140625" bestFit="1" customWidth="1"/>
    <col min="10498" max="10498" width="20" customWidth="1"/>
    <col min="10499" max="10499" width="16.140625" customWidth="1"/>
    <col min="10500" max="10500" width="18.28515625" customWidth="1"/>
    <col min="10501" max="10501" width="14.42578125" customWidth="1"/>
    <col min="10502" max="10502" width="18" customWidth="1"/>
    <col min="10503" max="10503" width="18.28515625" customWidth="1"/>
    <col min="10504" max="10504" width="16.140625" customWidth="1"/>
    <col min="10505" max="10505" width="18.28515625" customWidth="1"/>
    <col min="10506" max="10506" width="15.28515625" customWidth="1"/>
    <col min="10507" max="10507" width="18.28515625" customWidth="1"/>
    <col min="10508" max="10522" width="15.28515625" customWidth="1"/>
    <col min="10523" max="10523" width="21.42578125" customWidth="1"/>
    <col min="10524" max="10524" width="17.28515625" customWidth="1"/>
    <col min="10525" max="10525" width="18" customWidth="1"/>
    <col min="10526" max="10526" width="14" customWidth="1"/>
    <col min="10527" max="10527" width="16.42578125" customWidth="1"/>
    <col min="10528" max="10528" width="16.28515625" customWidth="1"/>
    <col min="10529" max="10530" width="16.42578125" customWidth="1"/>
    <col min="10531" max="10534" width="21.140625" customWidth="1"/>
    <col min="10535" max="10536" width="14.5703125" bestFit="1" customWidth="1"/>
    <col min="10537" max="10537" width="11.42578125" customWidth="1"/>
    <col min="10538" max="10538" width="17.28515625" bestFit="1" customWidth="1"/>
    <col min="10539" max="10540" width="26.28515625" customWidth="1"/>
    <col min="10541" max="10541" width="22.28515625" customWidth="1"/>
    <col min="10542" max="10543" width="17" customWidth="1"/>
    <col min="10544" max="10544" width="11" bestFit="1" customWidth="1"/>
    <col min="10546" max="10546" width="16.140625" bestFit="1" customWidth="1"/>
    <col min="10547" max="10547" width="15.140625" bestFit="1" customWidth="1"/>
    <col min="10754" max="10754" width="20" customWidth="1"/>
    <col min="10755" max="10755" width="16.140625" customWidth="1"/>
    <col min="10756" max="10756" width="18.28515625" customWidth="1"/>
    <col min="10757" max="10757" width="14.42578125" customWidth="1"/>
    <col min="10758" max="10758" width="18" customWidth="1"/>
    <col min="10759" max="10759" width="18.28515625" customWidth="1"/>
    <col min="10760" max="10760" width="16.140625" customWidth="1"/>
    <col min="10761" max="10761" width="18.28515625" customWidth="1"/>
    <col min="10762" max="10762" width="15.28515625" customWidth="1"/>
    <col min="10763" max="10763" width="18.28515625" customWidth="1"/>
    <col min="10764" max="10778" width="15.28515625" customWidth="1"/>
    <col min="10779" max="10779" width="21.42578125" customWidth="1"/>
    <col min="10780" max="10780" width="17.28515625" customWidth="1"/>
    <col min="10781" max="10781" width="18" customWidth="1"/>
    <col min="10782" max="10782" width="14" customWidth="1"/>
    <col min="10783" max="10783" width="16.42578125" customWidth="1"/>
    <col min="10784" max="10784" width="16.28515625" customWidth="1"/>
    <col min="10785" max="10786" width="16.42578125" customWidth="1"/>
    <col min="10787" max="10790" width="21.140625" customWidth="1"/>
    <col min="10791" max="10792" width="14.5703125" bestFit="1" customWidth="1"/>
    <col min="10793" max="10793" width="11.42578125" customWidth="1"/>
    <col min="10794" max="10794" width="17.28515625" bestFit="1" customWidth="1"/>
    <col min="10795" max="10796" width="26.28515625" customWidth="1"/>
    <col min="10797" max="10797" width="22.28515625" customWidth="1"/>
    <col min="10798" max="10799" width="17" customWidth="1"/>
    <col min="10800" max="10800" width="11" bestFit="1" customWidth="1"/>
    <col min="10802" max="10802" width="16.140625" bestFit="1" customWidth="1"/>
    <col min="10803" max="10803" width="15.140625" bestFit="1" customWidth="1"/>
    <col min="11010" max="11010" width="20" customWidth="1"/>
    <col min="11011" max="11011" width="16.140625" customWidth="1"/>
    <col min="11012" max="11012" width="18.28515625" customWidth="1"/>
    <col min="11013" max="11013" width="14.42578125" customWidth="1"/>
    <col min="11014" max="11014" width="18" customWidth="1"/>
    <col min="11015" max="11015" width="18.28515625" customWidth="1"/>
    <col min="11016" max="11016" width="16.140625" customWidth="1"/>
    <col min="11017" max="11017" width="18.28515625" customWidth="1"/>
    <col min="11018" max="11018" width="15.28515625" customWidth="1"/>
    <col min="11019" max="11019" width="18.28515625" customWidth="1"/>
    <col min="11020" max="11034" width="15.28515625" customWidth="1"/>
    <col min="11035" max="11035" width="21.42578125" customWidth="1"/>
    <col min="11036" max="11036" width="17.28515625" customWidth="1"/>
    <col min="11037" max="11037" width="18" customWidth="1"/>
    <col min="11038" max="11038" width="14" customWidth="1"/>
    <col min="11039" max="11039" width="16.42578125" customWidth="1"/>
    <col min="11040" max="11040" width="16.28515625" customWidth="1"/>
    <col min="11041" max="11042" width="16.42578125" customWidth="1"/>
    <col min="11043" max="11046" width="21.140625" customWidth="1"/>
    <col min="11047" max="11048" width="14.5703125" bestFit="1" customWidth="1"/>
    <col min="11049" max="11049" width="11.42578125" customWidth="1"/>
    <col min="11050" max="11050" width="17.28515625" bestFit="1" customWidth="1"/>
    <col min="11051" max="11052" width="26.28515625" customWidth="1"/>
    <col min="11053" max="11053" width="22.28515625" customWidth="1"/>
    <col min="11054" max="11055" width="17" customWidth="1"/>
    <col min="11056" max="11056" width="11" bestFit="1" customWidth="1"/>
    <col min="11058" max="11058" width="16.140625" bestFit="1" customWidth="1"/>
    <col min="11059" max="11059" width="15.140625" bestFit="1" customWidth="1"/>
    <col min="11266" max="11266" width="20" customWidth="1"/>
    <col min="11267" max="11267" width="16.140625" customWidth="1"/>
    <col min="11268" max="11268" width="18.28515625" customWidth="1"/>
    <col min="11269" max="11269" width="14.42578125" customWidth="1"/>
    <col min="11270" max="11270" width="18" customWidth="1"/>
    <col min="11271" max="11271" width="18.28515625" customWidth="1"/>
    <col min="11272" max="11272" width="16.140625" customWidth="1"/>
    <col min="11273" max="11273" width="18.28515625" customWidth="1"/>
    <col min="11274" max="11274" width="15.28515625" customWidth="1"/>
    <col min="11275" max="11275" width="18.28515625" customWidth="1"/>
    <col min="11276" max="11290" width="15.28515625" customWidth="1"/>
    <col min="11291" max="11291" width="21.42578125" customWidth="1"/>
    <col min="11292" max="11292" width="17.28515625" customWidth="1"/>
    <col min="11293" max="11293" width="18" customWidth="1"/>
    <col min="11294" max="11294" width="14" customWidth="1"/>
    <col min="11295" max="11295" width="16.42578125" customWidth="1"/>
    <col min="11296" max="11296" width="16.28515625" customWidth="1"/>
    <col min="11297" max="11298" width="16.42578125" customWidth="1"/>
    <col min="11299" max="11302" width="21.140625" customWidth="1"/>
    <col min="11303" max="11304" width="14.5703125" bestFit="1" customWidth="1"/>
    <col min="11305" max="11305" width="11.42578125" customWidth="1"/>
    <col min="11306" max="11306" width="17.28515625" bestFit="1" customWidth="1"/>
    <col min="11307" max="11308" width="26.28515625" customWidth="1"/>
    <col min="11309" max="11309" width="22.28515625" customWidth="1"/>
    <col min="11310" max="11311" width="17" customWidth="1"/>
    <col min="11312" max="11312" width="11" bestFit="1" customWidth="1"/>
    <col min="11314" max="11314" width="16.140625" bestFit="1" customWidth="1"/>
    <col min="11315" max="11315" width="15.140625" bestFit="1" customWidth="1"/>
    <col min="11522" max="11522" width="20" customWidth="1"/>
    <col min="11523" max="11523" width="16.140625" customWidth="1"/>
    <col min="11524" max="11524" width="18.28515625" customWidth="1"/>
    <col min="11525" max="11525" width="14.42578125" customWidth="1"/>
    <col min="11526" max="11526" width="18" customWidth="1"/>
    <col min="11527" max="11527" width="18.28515625" customWidth="1"/>
    <col min="11528" max="11528" width="16.140625" customWidth="1"/>
    <col min="11529" max="11529" width="18.28515625" customWidth="1"/>
    <col min="11530" max="11530" width="15.28515625" customWidth="1"/>
    <col min="11531" max="11531" width="18.28515625" customWidth="1"/>
    <col min="11532" max="11546" width="15.28515625" customWidth="1"/>
    <col min="11547" max="11547" width="21.42578125" customWidth="1"/>
    <col min="11548" max="11548" width="17.28515625" customWidth="1"/>
    <col min="11549" max="11549" width="18" customWidth="1"/>
    <col min="11550" max="11550" width="14" customWidth="1"/>
    <col min="11551" max="11551" width="16.42578125" customWidth="1"/>
    <col min="11552" max="11552" width="16.28515625" customWidth="1"/>
    <col min="11553" max="11554" width="16.42578125" customWidth="1"/>
    <col min="11555" max="11558" width="21.140625" customWidth="1"/>
    <col min="11559" max="11560" width="14.5703125" bestFit="1" customWidth="1"/>
    <col min="11561" max="11561" width="11.42578125" customWidth="1"/>
    <col min="11562" max="11562" width="17.28515625" bestFit="1" customWidth="1"/>
    <col min="11563" max="11564" width="26.28515625" customWidth="1"/>
    <col min="11565" max="11565" width="22.28515625" customWidth="1"/>
    <col min="11566" max="11567" width="17" customWidth="1"/>
    <col min="11568" max="11568" width="11" bestFit="1" customWidth="1"/>
    <col min="11570" max="11570" width="16.140625" bestFit="1" customWidth="1"/>
    <col min="11571" max="11571" width="15.140625" bestFit="1" customWidth="1"/>
    <col min="11778" max="11778" width="20" customWidth="1"/>
    <col min="11779" max="11779" width="16.140625" customWidth="1"/>
    <col min="11780" max="11780" width="18.28515625" customWidth="1"/>
    <col min="11781" max="11781" width="14.42578125" customWidth="1"/>
    <col min="11782" max="11782" width="18" customWidth="1"/>
    <col min="11783" max="11783" width="18.28515625" customWidth="1"/>
    <col min="11784" max="11784" width="16.140625" customWidth="1"/>
    <col min="11785" max="11785" width="18.28515625" customWidth="1"/>
    <col min="11786" max="11786" width="15.28515625" customWidth="1"/>
    <col min="11787" max="11787" width="18.28515625" customWidth="1"/>
    <col min="11788" max="11802" width="15.28515625" customWidth="1"/>
    <col min="11803" max="11803" width="21.42578125" customWidth="1"/>
    <col min="11804" max="11804" width="17.28515625" customWidth="1"/>
    <col min="11805" max="11805" width="18" customWidth="1"/>
    <col min="11806" max="11806" width="14" customWidth="1"/>
    <col min="11807" max="11807" width="16.42578125" customWidth="1"/>
    <col min="11808" max="11808" width="16.28515625" customWidth="1"/>
    <col min="11809" max="11810" width="16.42578125" customWidth="1"/>
    <col min="11811" max="11814" width="21.140625" customWidth="1"/>
    <col min="11815" max="11816" width="14.5703125" bestFit="1" customWidth="1"/>
    <col min="11817" max="11817" width="11.42578125" customWidth="1"/>
    <col min="11818" max="11818" width="17.28515625" bestFit="1" customWidth="1"/>
    <col min="11819" max="11820" width="26.28515625" customWidth="1"/>
    <col min="11821" max="11821" width="22.28515625" customWidth="1"/>
    <col min="11822" max="11823" width="17" customWidth="1"/>
    <col min="11824" max="11824" width="11" bestFit="1" customWidth="1"/>
    <col min="11826" max="11826" width="16.140625" bestFit="1" customWidth="1"/>
    <col min="11827" max="11827" width="15.140625" bestFit="1" customWidth="1"/>
    <col min="12034" max="12034" width="20" customWidth="1"/>
    <col min="12035" max="12035" width="16.140625" customWidth="1"/>
    <col min="12036" max="12036" width="18.28515625" customWidth="1"/>
    <col min="12037" max="12037" width="14.42578125" customWidth="1"/>
    <col min="12038" max="12038" width="18" customWidth="1"/>
    <col min="12039" max="12039" width="18.28515625" customWidth="1"/>
    <col min="12040" max="12040" width="16.140625" customWidth="1"/>
    <col min="12041" max="12041" width="18.28515625" customWidth="1"/>
    <col min="12042" max="12042" width="15.28515625" customWidth="1"/>
    <col min="12043" max="12043" width="18.28515625" customWidth="1"/>
    <col min="12044" max="12058" width="15.28515625" customWidth="1"/>
    <col min="12059" max="12059" width="21.42578125" customWidth="1"/>
    <col min="12060" max="12060" width="17.28515625" customWidth="1"/>
    <col min="12061" max="12061" width="18" customWidth="1"/>
    <col min="12062" max="12062" width="14" customWidth="1"/>
    <col min="12063" max="12063" width="16.42578125" customWidth="1"/>
    <col min="12064" max="12064" width="16.28515625" customWidth="1"/>
    <col min="12065" max="12066" width="16.42578125" customWidth="1"/>
    <col min="12067" max="12070" width="21.140625" customWidth="1"/>
    <col min="12071" max="12072" width="14.5703125" bestFit="1" customWidth="1"/>
    <col min="12073" max="12073" width="11.42578125" customWidth="1"/>
    <col min="12074" max="12074" width="17.28515625" bestFit="1" customWidth="1"/>
    <col min="12075" max="12076" width="26.28515625" customWidth="1"/>
    <col min="12077" max="12077" width="22.28515625" customWidth="1"/>
    <col min="12078" max="12079" width="17" customWidth="1"/>
    <col min="12080" max="12080" width="11" bestFit="1" customWidth="1"/>
    <col min="12082" max="12082" width="16.140625" bestFit="1" customWidth="1"/>
    <col min="12083" max="12083" width="15.140625" bestFit="1" customWidth="1"/>
    <col min="12290" max="12290" width="20" customWidth="1"/>
    <col min="12291" max="12291" width="16.140625" customWidth="1"/>
    <col min="12292" max="12292" width="18.28515625" customWidth="1"/>
    <col min="12293" max="12293" width="14.42578125" customWidth="1"/>
    <col min="12294" max="12294" width="18" customWidth="1"/>
    <col min="12295" max="12295" width="18.28515625" customWidth="1"/>
    <col min="12296" max="12296" width="16.140625" customWidth="1"/>
    <col min="12297" max="12297" width="18.28515625" customWidth="1"/>
    <col min="12298" max="12298" width="15.28515625" customWidth="1"/>
    <col min="12299" max="12299" width="18.28515625" customWidth="1"/>
    <col min="12300" max="12314" width="15.28515625" customWidth="1"/>
    <col min="12315" max="12315" width="21.42578125" customWidth="1"/>
    <col min="12316" max="12316" width="17.28515625" customWidth="1"/>
    <col min="12317" max="12317" width="18" customWidth="1"/>
    <col min="12318" max="12318" width="14" customWidth="1"/>
    <col min="12319" max="12319" width="16.42578125" customWidth="1"/>
    <col min="12320" max="12320" width="16.28515625" customWidth="1"/>
    <col min="12321" max="12322" width="16.42578125" customWidth="1"/>
    <col min="12323" max="12326" width="21.140625" customWidth="1"/>
    <col min="12327" max="12328" width="14.5703125" bestFit="1" customWidth="1"/>
    <col min="12329" max="12329" width="11.42578125" customWidth="1"/>
    <col min="12330" max="12330" width="17.28515625" bestFit="1" customWidth="1"/>
    <col min="12331" max="12332" width="26.28515625" customWidth="1"/>
    <col min="12333" max="12333" width="22.28515625" customWidth="1"/>
    <col min="12334" max="12335" width="17" customWidth="1"/>
    <col min="12336" max="12336" width="11" bestFit="1" customWidth="1"/>
    <col min="12338" max="12338" width="16.140625" bestFit="1" customWidth="1"/>
    <col min="12339" max="12339" width="15.140625" bestFit="1" customWidth="1"/>
    <col min="12546" max="12546" width="20" customWidth="1"/>
    <col min="12547" max="12547" width="16.140625" customWidth="1"/>
    <col min="12548" max="12548" width="18.28515625" customWidth="1"/>
    <col min="12549" max="12549" width="14.42578125" customWidth="1"/>
    <col min="12550" max="12550" width="18" customWidth="1"/>
    <col min="12551" max="12551" width="18.28515625" customWidth="1"/>
    <col min="12552" max="12552" width="16.140625" customWidth="1"/>
    <col min="12553" max="12553" width="18.28515625" customWidth="1"/>
    <col min="12554" max="12554" width="15.28515625" customWidth="1"/>
    <col min="12555" max="12555" width="18.28515625" customWidth="1"/>
    <col min="12556" max="12570" width="15.28515625" customWidth="1"/>
    <col min="12571" max="12571" width="21.42578125" customWidth="1"/>
    <col min="12572" max="12572" width="17.28515625" customWidth="1"/>
    <col min="12573" max="12573" width="18" customWidth="1"/>
    <col min="12574" max="12574" width="14" customWidth="1"/>
    <col min="12575" max="12575" width="16.42578125" customWidth="1"/>
    <col min="12576" max="12576" width="16.28515625" customWidth="1"/>
    <col min="12577" max="12578" width="16.42578125" customWidth="1"/>
    <col min="12579" max="12582" width="21.140625" customWidth="1"/>
    <col min="12583" max="12584" width="14.5703125" bestFit="1" customWidth="1"/>
    <col min="12585" max="12585" width="11.42578125" customWidth="1"/>
    <col min="12586" max="12586" width="17.28515625" bestFit="1" customWidth="1"/>
    <col min="12587" max="12588" width="26.28515625" customWidth="1"/>
    <col min="12589" max="12589" width="22.28515625" customWidth="1"/>
    <col min="12590" max="12591" width="17" customWidth="1"/>
    <col min="12592" max="12592" width="11" bestFit="1" customWidth="1"/>
    <col min="12594" max="12594" width="16.140625" bestFit="1" customWidth="1"/>
    <col min="12595" max="12595" width="15.140625" bestFit="1" customWidth="1"/>
    <col min="12802" max="12802" width="20" customWidth="1"/>
    <col min="12803" max="12803" width="16.140625" customWidth="1"/>
    <col min="12804" max="12804" width="18.28515625" customWidth="1"/>
    <col min="12805" max="12805" width="14.42578125" customWidth="1"/>
    <col min="12806" max="12806" width="18" customWidth="1"/>
    <col min="12807" max="12807" width="18.28515625" customWidth="1"/>
    <col min="12808" max="12808" width="16.140625" customWidth="1"/>
    <col min="12809" max="12809" width="18.28515625" customWidth="1"/>
    <col min="12810" max="12810" width="15.28515625" customWidth="1"/>
    <col min="12811" max="12811" width="18.28515625" customWidth="1"/>
    <col min="12812" max="12826" width="15.28515625" customWidth="1"/>
    <col min="12827" max="12827" width="21.42578125" customWidth="1"/>
    <col min="12828" max="12828" width="17.28515625" customWidth="1"/>
    <col min="12829" max="12829" width="18" customWidth="1"/>
    <col min="12830" max="12830" width="14" customWidth="1"/>
    <col min="12831" max="12831" width="16.42578125" customWidth="1"/>
    <col min="12832" max="12832" width="16.28515625" customWidth="1"/>
    <col min="12833" max="12834" width="16.42578125" customWidth="1"/>
    <col min="12835" max="12838" width="21.140625" customWidth="1"/>
    <col min="12839" max="12840" width="14.5703125" bestFit="1" customWidth="1"/>
    <col min="12841" max="12841" width="11.42578125" customWidth="1"/>
    <col min="12842" max="12842" width="17.28515625" bestFit="1" customWidth="1"/>
    <col min="12843" max="12844" width="26.28515625" customWidth="1"/>
    <col min="12845" max="12845" width="22.28515625" customWidth="1"/>
    <col min="12846" max="12847" width="17" customWidth="1"/>
    <col min="12848" max="12848" width="11" bestFit="1" customWidth="1"/>
    <col min="12850" max="12850" width="16.140625" bestFit="1" customWidth="1"/>
    <col min="12851" max="12851" width="15.140625" bestFit="1" customWidth="1"/>
    <col min="13058" max="13058" width="20" customWidth="1"/>
    <col min="13059" max="13059" width="16.140625" customWidth="1"/>
    <col min="13060" max="13060" width="18.28515625" customWidth="1"/>
    <col min="13061" max="13061" width="14.42578125" customWidth="1"/>
    <col min="13062" max="13062" width="18" customWidth="1"/>
    <col min="13063" max="13063" width="18.28515625" customWidth="1"/>
    <col min="13064" max="13064" width="16.140625" customWidth="1"/>
    <col min="13065" max="13065" width="18.28515625" customWidth="1"/>
    <col min="13066" max="13066" width="15.28515625" customWidth="1"/>
    <col min="13067" max="13067" width="18.28515625" customWidth="1"/>
    <col min="13068" max="13082" width="15.28515625" customWidth="1"/>
    <col min="13083" max="13083" width="21.42578125" customWidth="1"/>
    <col min="13084" max="13084" width="17.28515625" customWidth="1"/>
    <col min="13085" max="13085" width="18" customWidth="1"/>
    <col min="13086" max="13086" width="14" customWidth="1"/>
    <col min="13087" max="13087" width="16.42578125" customWidth="1"/>
    <col min="13088" max="13088" width="16.28515625" customWidth="1"/>
    <col min="13089" max="13090" width="16.42578125" customWidth="1"/>
    <col min="13091" max="13094" width="21.140625" customWidth="1"/>
    <col min="13095" max="13096" width="14.5703125" bestFit="1" customWidth="1"/>
    <col min="13097" max="13097" width="11.42578125" customWidth="1"/>
    <col min="13098" max="13098" width="17.28515625" bestFit="1" customWidth="1"/>
    <col min="13099" max="13100" width="26.28515625" customWidth="1"/>
    <col min="13101" max="13101" width="22.28515625" customWidth="1"/>
    <col min="13102" max="13103" width="17" customWidth="1"/>
    <col min="13104" max="13104" width="11" bestFit="1" customWidth="1"/>
    <col min="13106" max="13106" width="16.140625" bestFit="1" customWidth="1"/>
    <col min="13107" max="13107" width="15.140625" bestFit="1" customWidth="1"/>
    <col min="13314" max="13314" width="20" customWidth="1"/>
    <col min="13315" max="13315" width="16.140625" customWidth="1"/>
    <col min="13316" max="13316" width="18.28515625" customWidth="1"/>
    <col min="13317" max="13317" width="14.42578125" customWidth="1"/>
    <col min="13318" max="13318" width="18" customWidth="1"/>
    <col min="13319" max="13319" width="18.28515625" customWidth="1"/>
    <col min="13320" max="13320" width="16.140625" customWidth="1"/>
    <col min="13321" max="13321" width="18.28515625" customWidth="1"/>
    <col min="13322" max="13322" width="15.28515625" customWidth="1"/>
    <col min="13323" max="13323" width="18.28515625" customWidth="1"/>
    <col min="13324" max="13338" width="15.28515625" customWidth="1"/>
    <col min="13339" max="13339" width="21.42578125" customWidth="1"/>
    <col min="13340" max="13340" width="17.28515625" customWidth="1"/>
    <col min="13341" max="13341" width="18" customWidth="1"/>
    <col min="13342" max="13342" width="14" customWidth="1"/>
    <col min="13343" max="13343" width="16.42578125" customWidth="1"/>
    <col min="13344" max="13344" width="16.28515625" customWidth="1"/>
    <col min="13345" max="13346" width="16.42578125" customWidth="1"/>
    <col min="13347" max="13350" width="21.140625" customWidth="1"/>
    <col min="13351" max="13352" width="14.5703125" bestFit="1" customWidth="1"/>
    <col min="13353" max="13353" width="11.42578125" customWidth="1"/>
    <col min="13354" max="13354" width="17.28515625" bestFit="1" customWidth="1"/>
    <col min="13355" max="13356" width="26.28515625" customWidth="1"/>
    <col min="13357" max="13357" width="22.28515625" customWidth="1"/>
    <col min="13358" max="13359" width="17" customWidth="1"/>
    <col min="13360" max="13360" width="11" bestFit="1" customWidth="1"/>
    <col min="13362" max="13362" width="16.140625" bestFit="1" customWidth="1"/>
    <col min="13363" max="13363" width="15.140625" bestFit="1" customWidth="1"/>
    <col min="13570" max="13570" width="20" customWidth="1"/>
    <col min="13571" max="13571" width="16.140625" customWidth="1"/>
    <col min="13572" max="13572" width="18.28515625" customWidth="1"/>
    <col min="13573" max="13573" width="14.42578125" customWidth="1"/>
    <col min="13574" max="13574" width="18" customWidth="1"/>
    <col min="13575" max="13575" width="18.28515625" customWidth="1"/>
    <col min="13576" max="13576" width="16.140625" customWidth="1"/>
    <col min="13577" max="13577" width="18.28515625" customWidth="1"/>
    <col min="13578" max="13578" width="15.28515625" customWidth="1"/>
    <col min="13579" max="13579" width="18.28515625" customWidth="1"/>
    <col min="13580" max="13594" width="15.28515625" customWidth="1"/>
    <col min="13595" max="13595" width="21.42578125" customWidth="1"/>
    <col min="13596" max="13596" width="17.28515625" customWidth="1"/>
    <col min="13597" max="13597" width="18" customWidth="1"/>
    <col min="13598" max="13598" width="14" customWidth="1"/>
    <col min="13599" max="13599" width="16.42578125" customWidth="1"/>
    <col min="13600" max="13600" width="16.28515625" customWidth="1"/>
    <col min="13601" max="13602" width="16.42578125" customWidth="1"/>
    <col min="13603" max="13606" width="21.140625" customWidth="1"/>
    <col min="13607" max="13608" width="14.5703125" bestFit="1" customWidth="1"/>
    <col min="13609" max="13609" width="11.42578125" customWidth="1"/>
    <col min="13610" max="13610" width="17.28515625" bestFit="1" customWidth="1"/>
    <col min="13611" max="13612" width="26.28515625" customWidth="1"/>
    <col min="13613" max="13613" width="22.28515625" customWidth="1"/>
    <col min="13614" max="13615" width="17" customWidth="1"/>
    <col min="13616" max="13616" width="11" bestFit="1" customWidth="1"/>
    <col min="13618" max="13618" width="16.140625" bestFit="1" customWidth="1"/>
    <col min="13619" max="13619" width="15.140625" bestFit="1" customWidth="1"/>
    <col min="13826" max="13826" width="20" customWidth="1"/>
    <col min="13827" max="13827" width="16.140625" customWidth="1"/>
    <col min="13828" max="13828" width="18.28515625" customWidth="1"/>
    <col min="13829" max="13829" width="14.42578125" customWidth="1"/>
    <col min="13830" max="13830" width="18" customWidth="1"/>
    <col min="13831" max="13831" width="18.28515625" customWidth="1"/>
    <col min="13832" max="13832" width="16.140625" customWidth="1"/>
    <col min="13833" max="13833" width="18.28515625" customWidth="1"/>
    <col min="13834" max="13834" width="15.28515625" customWidth="1"/>
    <col min="13835" max="13835" width="18.28515625" customWidth="1"/>
    <col min="13836" max="13850" width="15.28515625" customWidth="1"/>
    <col min="13851" max="13851" width="21.42578125" customWidth="1"/>
    <col min="13852" max="13852" width="17.28515625" customWidth="1"/>
    <col min="13853" max="13853" width="18" customWidth="1"/>
    <col min="13854" max="13854" width="14" customWidth="1"/>
    <col min="13855" max="13855" width="16.42578125" customWidth="1"/>
    <col min="13856" max="13856" width="16.28515625" customWidth="1"/>
    <col min="13857" max="13858" width="16.42578125" customWidth="1"/>
    <col min="13859" max="13862" width="21.140625" customWidth="1"/>
    <col min="13863" max="13864" width="14.5703125" bestFit="1" customWidth="1"/>
    <col min="13865" max="13865" width="11.42578125" customWidth="1"/>
    <col min="13866" max="13866" width="17.28515625" bestFit="1" customWidth="1"/>
    <col min="13867" max="13868" width="26.28515625" customWidth="1"/>
    <col min="13869" max="13869" width="22.28515625" customWidth="1"/>
    <col min="13870" max="13871" width="17" customWidth="1"/>
    <col min="13872" max="13872" width="11" bestFit="1" customWidth="1"/>
    <col min="13874" max="13874" width="16.140625" bestFit="1" customWidth="1"/>
    <col min="13875" max="13875" width="15.140625" bestFit="1" customWidth="1"/>
    <col min="14082" max="14082" width="20" customWidth="1"/>
    <col min="14083" max="14083" width="16.140625" customWidth="1"/>
    <col min="14084" max="14084" width="18.28515625" customWidth="1"/>
    <col min="14085" max="14085" width="14.42578125" customWidth="1"/>
    <col min="14086" max="14086" width="18" customWidth="1"/>
    <col min="14087" max="14087" width="18.28515625" customWidth="1"/>
    <col min="14088" max="14088" width="16.140625" customWidth="1"/>
    <col min="14089" max="14089" width="18.28515625" customWidth="1"/>
    <col min="14090" max="14090" width="15.28515625" customWidth="1"/>
    <col min="14091" max="14091" width="18.28515625" customWidth="1"/>
    <col min="14092" max="14106" width="15.28515625" customWidth="1"/>
    <col min="14107" max="14107" width="21.42578125" customWidth="1"/>
    <col min="14108" max="14108" width="17.28515625" customWidth="1"/>
    <col min="14109" max="14109" width="18" customWidth="1"/>
    <col min="14110" max="14110" width="14" customWidth="1"/>
    <col min="14111" max="14111" width="16.42578125" customWidth="1"/>
    <col min="14112" max="14112" width="16.28515625" customWidth="1"/>
    <col min="14113" max="14114" width="16.42578125" customWidth="1"/>
    <col min="14115" max="14118" width="21.140625" customWidth="1"/>
    <col min="14119" max="14120" width="14.5703125" bestFit="1" customWidth="1"/>
    <col min="14121" max="14121" width="11.42578125" customWidth="1"/>
    <col min="14122" max="14122" width="17.28515625" bestFit="1" customWidth="1"/>
    <col min="14123" max="14124" width="26.28515625" customWidth="1"/>
    <col min="14125" max="14125" width="22.28515625" customWidth="1"/>
    <col min="14126" max="14127" width="17" customWidth="1"/>
    <col min="14128" max="14128" width="11" bestFit="1" customWidth="1"/>
    <col min="14130" max="14130" width="16.140625" bestFit="1" customWidth="1"/>
    <col min="14131" max="14131" width="15.140625" bestFit="1" customWidth="1"/>
    <col min="14338" max="14338" width="20" customWidth="1"/>
    <col min="14339" max="14339" width="16.140625" customWidth="1"/>
    <col min="14340" max="14340" width="18.28515625" customWidth="1"/>
    <col min="14341" max="14341" width="14.42578125" customWidth="1"/>
    <col min="14342" max="14342" width="18" customWidth="1"/>
    <col min="14343" max="14343" width="18.28515625" customWidth="1"/>
    <col min="14344" max="14344" width="16.140625" customWidth="1"/>
    <col min="14345" max="14345" width="18.28515625" customWidth="1"/>
    <col min="14346" max="14346" width="15.28515625" customWidth="1"/>
    <col min="14347" max="14347" width="18.28515625" customWidth="1"/>
    <col min="14348" max="14362" width="15.28515625" customWidth="1"/>
    <col min="14363" max="14363" width="21.42578125" customWidth="1"/>
    <col min="14364" max="14364" width="17.28515625" customWidth="1"/>
    <col min="14365" max="14365" width="18" customWidth="1"/>
    <col min="14366" max="14366" width="14" customWidth="1"/>
    <col min="14367" max="14367" width="16.42578125" customWidth="1"/>
    <col min="14368" max="14368" width="16.28515625" customWidth="1"/>
    <col min="14369" max="14370" width="16.42578125" customWidth="1"/>
    <col min="14371" max="14374" width="21.140625" customWidth="1"/>
    <col min="14375" max="14376" width="14.5703125" bestFit="1" customWidth="1"/>
    <col min="14377" max="14377" width="11.42578125" customWidth="1"/>
    <col min="14378" max="14378" width="17.28515625" bestFit="1" customWidth="1"/>
    <col min="14379" max="14380" width="26.28515625" customWidth="1"/>
    <col min="14381" max="14381" width="22.28515625" customWidth="1"/>
    <col min="14382" max="14383" width="17" customWidth="1"/>
    <col min="14384" max="14384" width="11" bestFit="1" customWidth="1"/>
    <col min="14386" max="14386" width="16.140625" bestFit="1" customWidth="1"/>
    <col min="14387" max="14387" width="15.140625" bestFit="1" customWidth="1"/>
    <col min="14594" max="14594" width="20" customWidth="1"/>
    <col min="14595" max="14595" width="16.140625" customWidth="1"/>
    <col min="14596" max="14596" width="18.28515625" customWidth="1"/>
    <col min="14597" max="14597" width="14.42578125" customWidth="1"/>
    <col min="14598" max="14598" width="18" customWidth="1"/>
    <col min="14599" max="14599" width="18.28515625" customWidth="1"/>
    <col min="14600" max="14600" width="16.140625" customWidth="1"/>
    <col min="14601" max="14601" width="18.28515625" customWidth="1"/>
    <col min="14602" max="14602" width="15.28515625" customWidth="1"/>
    <col min="14603" max="14603" width="18.28515625" customWidth="1"/>
    <col min="14604" max="14618" width="15.28515625" customWidth="1"/>
    <col min="14619" max="14619" width="21.42578125" customWidth="1"/>
    <col min="14620" max="14620" width="17.28515625" customWidth="1"/>
    <col min="14621" max="14621" width="18" customWidth="1"/>
    <col min="14622" max="14622" width="14" customWidth="1"/>
    <col min="14623" max="14623" width="16.42578125" customWidth="1"/>
    <col min="14624" max="14624" width="16.28515625" customWidth="1"/>
    <col min="14625" max="14626" width="16.42578125" customWidth="1"/>
    <col min="14627" max="14630" width="21.140625" customWidth="1"/>
    <col min="14631" max="14632" width="14.5703125" bestFit="1" customWidth="1"/>
    <col min="14633" max="14633" width="11.42578125" customWidth="1"/>
    <col min="14634" max="14634" width="17.28515625" bestFit="1" customWidth="1"/>
    <col min="14635" max="14636" width="26.28515625" customWidth="1"/>
    <col min="14637" max="14637" width="22.28515625" customWidth="1"/>
    <col min="14638" max="14639" width="17" customWidth="1"/>
    <col min="14640" max="14640" width="11" bestFit="1" customWidth="1"/>
    <col min="14642" max="14642" width="16.140625" bestFit="1" customWidth="1"/>
    <col min="14643" max="14643" width="15.140625" bestFit="1" customWidth="1"/>
    <col min="14850" max="14850" width="20" customWidth="1"/>
    <col min="14851" max="14851" width="16.140625" customWidth="1"/>
    <col min="14852" max="14852" width="18.28515625" customWidth="1"/>
    <col min="14853" max="14853" width="14.42578125" customWidth="1"/>
    <col min="14854" max="14854" width="18" customWidth="1"/>
    <col min="14855" max="14855" width="18.28515625" customWidth="1"/>
    <col min="14856" max="14856" width="16.140625" customWidth="1"/>
    <col min="14857" max="14857" width="18.28515625" customWidth="1"/>
    <col min="14858" max="14858" width="15.28515625" customWidth="1"/>
    <col min="14859" max="14859" width="18.28515625" customWidth="1"/>
    <col min="14860" max="14874" width="15.28515625" customWidth="1"/>
    <col min="14875" max="14875" width="21.42578125" customWidth="1"/>
    <col min="14876" max="14876" width="17.28515625" customWidth="1"/>
    <col min="14877" max="14877" width="18" customWidth="1"/>
    <col min="14878" max="14878" width="14" customWidth="1"/>
    <col min="14879" max="14879" width="16.42578125" customWidth="1"/>
    <col min="14880" max="14880" width="16.28515625" customWidth="1"/>
    <col min="14881" max="14882" width="16.42578125" customWidth="1"/>
    <col min="14883" max="14886" width="21.140625" customWidth="1"/>
    <col min="14887" max="14888" width="14.5703125" bestFit="1" customWidth="1"/>
    <col min="14889" max="14889" width="11.42578125" customWidth="1"/>
    <col min="14890" max="14890" width="17.28515625" bestFit="1" customWidth="1"/>
    <col min="14891" max="14892" width="26.28515625" customWidth="1"/>
    <col min="14893" max="14893" width="22.28515625" customWidth="1"/>
    <col min="14894" max="14895" width="17" customWidth="1"/>
    <col min="14896" max="14896" width="11" bestFit="1" customWidth="1"/>
    <col min="14898" max="14898" width="16.140625" bestFit="1" customWidth="1"/>
    <col min="14899" max="14899" width="15.140625" bestFit="1" customWidth="1"/>
    <col min="15106" max="15106" width="20" customWidth="1"/>
    <col min="15107" max="15107" width="16.140625" customWidth="1"/>
    <col min="15108" max="15108" width="18.28515625" customWidth="1"/>
    <col min="15109" max="15109" width="14.42578125" customWidth="1"/>
    <col min="15110" max="15110" width="18" customWidth="1"/>
    <col min="15111" max="15111" width="18.28515625" customWidth="1"/>
    <col min="15112" max="15112" width="16.140625" customWidth="1"/>
    <col min="15113" max="15113" width="18.28515625" customWidth="1"/>
    <col min="15114" max="15114" width="15.28515625" customWidth="1"/>
    <col min="15115" max="15115" width="18.28515625" customWidth="1"/>
    <col min="15116" max="15130" width="15.28515625" customWidth="1"/>
    <col min="15131" max="15131" width="21.42578125" customWidth="1"/>
    <col min="15132" max="15132" width="17.28515625" customWidth="1"/>
    <col min="15133" max="15133" width="18" customWidth="1"/>
    <col min="15134" max="15134" width="14" customWidth="1"/>
    <col min="15135" max="15135" width="16.42578125" customWidth="1"/>
    <col min="15136" max="15136" width="16.28515625" customWidth="1"/>
    <col min="15137" max="15138" width="16.42578125" customWidth="1"/>
    <col min="15139" max="15142" width="21.140625" customWidth="1"/>
    <col min="15143" max="15144" width="14.5703125" bestFit="1" customWidth="1"/>
    <col min="15145" max="15145" width="11.42578125" customWidth="1"/>
    <col min="15146" max="15146" width="17.28515625" bestFit="1" customWidth="1"/>
    <col min="15147" max="15148" width="26.28515625" customWidth="1"/>
    <col min="15149" max="15149" width="22.28515625" customWidth="1"/>
    <col min="15150" max="15151" width="17" customWidth="1"/>
    <col min="15152" max="15152" width="11" bestFit="1" customWidth="1"/>
    <col min="15154" max="15154" width="16.140625" bestFit="1" customWidth="1"/>
    <col min="15155" max="15155" width="15.140625" bestFit="1" customWidth="1"/>
    <col min="15362" max="15362" width="20" customWidth="1"/>
    <col min="15363" max="15363" width="16.140625" customWidth="1"/>
    <col min="15364" max="15364" width="18.28515625" customWidth="1"/>
    <col min="15365" max="15365" width="14.42578125" customWidth="1"/>
    <col min="15366" max="15366" width="18" customWidth="1"/>
    <col min="15367" max="15367" width="18.28515625" customWidth="1"/>
    <col min="15368" max="15368" width="16.140625" customWidth="1"/>
    <col min="15369" max="15369" width="18.28515625" customWidth="1"/>
    <col min="15370" max="15370" width="15.28515625" customWidth="1"/>
    <col min="15371" max="15371" width="18.28515625" customWidth="1"/>
    <col min="15372" max="15386" width="15.28515625" customWidth="1"/>
    <col min="15387" max="15387" width="21.42578125" customWidth="1"/>
    <col min="15388" max="15388" width="17.28515625" customWidth="1"/>
    <col min="15389" max="15389" width="18" customWidth="1"/>
    <col min="15390" max="15390" width="14" customWidth="1"/>
    <col min="15391" max="15391" width="16.42578125" customWidth="1"/>
    <col min="15392" max="15392" width="16.28515625" customWidth="1"/>
    <col min="15393" max="15394" width="16.42578125" customWidth="1"/>
    <col min="15395" max="15398" width="21.140625" customWidth="1"/>
    <col min="15399" max="15400" width="14.5703125" bestFit="1" customWidth="1"/>
    <col min="15401" max="15401" width="11.42578125" customWidth="1"/>
    <col min="15402" max="15402" width="17.28515625" bestFit="1" customWidth="1"/>
    <col min="15403" max="15404" width="26.28515625" customWidth="1"/>
    <col min="15405" max="15405" width="22.28515625" customWidth="1"/>
    <col min="15406" max="15407" width="17" customWidth="1"/>
    <col min="15408" max="15408" width="11" bestFit="1" customWidth="1"/>
    <col min="15410" max="15410" width="16.140625" bestFit="1" customWidth="1"/>
    <col min="15411" max="15411" width="15.140625" bestFit="1" customWidth="1"/>
    <col min="15618" max="15618" width="20" customWidth="1"/>
    <col min="15619" max="15619" width="16.140625" customWidth="1"/>
    <col min="15620" max="15620" width="18.28515625" customWidth="1"/>
    <col min="15621" max="15621" width="14.42578125" customWidth="1"/>
    <col min="15622" max="15622" width="18" customWidth="1"/>
    <col min="15623" max="15623" width="18.28515625" customWidth="1"/>
    <col min="15624" max="15624" width="16.140625" customWidth="1"/>
    <col min="15625" max="15625" width="18.28515625" customWidth="1"/>
    <col min="15626" max="15626" width="15.28515625" customWidth="1"/>
    <col min="15627" max="15627" width="18.28515625" customWidth="1"/>
    <col min="15628" max="15642" width="15.28515625" customWidth="1"/>
    <col min="15643" max="15643" width="21.42578125" customWidth="1"/>
    <col min="15644" max="15644" width="17.28515625" customWidth="1"/>
    <col min="15645" max="15645" width="18" customWidth="1"/>
    <col min="15646" max="15646" width="14" customWidth="1"/>
    <col min="15647" max="15647" width="16.42578125" customWidth="1"/>
    <col min="15648" max="15648" width="16.28515625" customWidth="1"/>
    <col min="15649" max="15650" width="16.42578125" customWidth="1"/>
    <col min="15651" max="15654" width="21.140625" customWidth="1"/>
    <col min="15655" max="15656" width="14.5703125" bestFit="1" customWidth="1"/>
    <col min="15657" max="15657" width="11.42578125" customWidth="1"/>
    <col min="15658" max="15658" width="17.28515625" bestFit="1" customWidth="1"/>
    <col min="15659" max="15660" width="26.28515625" customWidth="1"/>
    <col min="15661" max="15661" width="22.28515625" customWidth="1"/>
    <col min="15662" max="15663" width="17" customWidth="1"/>
    <col min="15664" max="15664" width="11" bestFit="1" customWidth="1"/>
    <col min="15666" max="15666" width="16.140625" bestFit="1" customWidth="1"/>
    <col min="15667" max="15667" width="15.140625" bestFit="1" customWidth="1"/>
    <col min="15874" max="15874" width="20" customWidth="1"/>
    <col min="15875" max="15875" width="16.140625" customWidth="1"/>
    <col min="15876" max="15876" width="18.28515625" customWidth="1"/>
    <col min="15877" max="15877" width="14.42578125" customWidth="1"/>
    <col min="15878" max="15878" width="18" customWidth="1"/>
    <col min="15879" max="15879" width="18.28515625" customWidth="1"/>
    <col min="15880" max="15880" width="16.140625" customWidth="1"/>
    <col min="15881" max="15881" width="18.28515625" customWidth="1"/>
    <col min="15882" max="15882" width="15.28515625" customWidth="1"/>
    <col min="15883" max="15883" width="18.28515625" customWidth="1"/>
    <col min="15884" max="15898" width="15.28515625" customWidth="1"/>
    <col min="15899" max="15899" width="21.42578125" customWidth="1"/>
    <col min="15900" max="15900" width="17.28515625" customWidth="1"/>
    <col min="15901" max="15901" width="18" customWidth="1"/>
    <col min="15902" max="15902" width="14" customWidth="1"/>
    <col min="15903" max="15903" width="16.42578125" customWidth="1"/>
    <col min="15904" max="15904" width="16.28515625" customWidth="1"/>
    <col min="15905" max="15906" width="16.42578125" customWidth="1"/>
    <col min="15907" max="15910" width="21.140625" customWidth="1"/>
    <col min="15911" max="15912" width="14.5703125" bestFit="1" customWidth="1"/>
    <col min="15913" max="15913" width="11.42578125" customWidth="1"/>
    <col min="15914" max="15914" width="17.28515625" bestFit="1" customWidth="1"/>
    <col min="15915" max="15916" width="26.28515625" customWidth="1"/>
    <col min="15917" max="15917" width="22.28515625" customWidth="1"/>
    <col min="15918" max="15919" width="17" customWidth="1"/>
    <col min="15920" max="15920" width="11" bestFit="1" customWidth="1"/>
    <col min="15922" max="15922" width="16.140625" bestFit="1" customWidth="1"/>
    <col min="15923" max="15923" width="15.140625" bestFit="1" customWidth="1"/>
    <col min="16130" max="16130" width="20" customWidth="1"/>
    <col min="16131" max="16131" width="16.140625" customWidth="1"/>
    <col min="16132" max="16132" width="18.28515625" customWidth="1"/>
    <col min="16133" max="16133" width="14.42578125" customWidth="1"/>
    <col min="16134" max="16134" width="18" customWidth="1"/>
    <col min="16135" max="16135" width="18.28515625" customWidth="1"/>
    <col min="16136" max="16136" width="16.140625" customWidth="1"/>
    <col min="16137" max="16137" width="18.28515625" customWidth="1"/>
    <col min="16138" max="16138" width="15.28515625" customWidth="1"/>
    <col min="16139" max="16139" width="18.28515625" customWidth="1"/>
    <col min="16140" max="16154" width="15.28515625" customWidth="1"/>
    <col min="16155" max="16155" width="21.42578125" customWidth="1"/>
    <col min="16156" max="16156" width="17.28515625" customWidth="1"/>
    <col min="16157" max="16157" width="18" customWidth="1"/>
    <col min="16158" max="16158" width="14" customWidth="1"/>
    <col min="16159" max="16159" width="16.42578125" customWidth="1"/>
    <col min="16160" max="16160" width="16.28515625" customWidth="1"/>
    <col min="16161" max="16162" width="16.42578125" customWidth="1"/>
    <col min="16163" max="16166" width="21.140625" customWidth="1"/>
    <col min="16167" max="16168" width="14.5703125" bestFit="1" customWidth="1"/>
    <col min="16169" max="16169" width="11.42578125" customWidth="1"/>
    <col min="16170" max="16170" width="17.28515625" bestFit="1" customWidth="1"/>
    <col min="16171" max="16172" width="26.28515625" customWidth="1"/>
    <col min="16173" max="16173" width="22.28515625" customWidth="1"/>
    <col min="16174" max="16175" width="17" customWidth="1"/>
    <col min="16176" max="16176" width="11" bestFit="1" customWidth="1"/>
    <col min="16178" max="16178" width="16.140625" bestFit="1" customWidth="1"/>
    <col min="16179" max="16179" width="15.140625" bestFit="1" customWidth="1"/>
  </cols>
  <sheetData>
    <row r="1" spans="1:47" ht="15" customHeight="1" x14ac:dyDescent="0.25">
      <c r="A1" s="1021" t="s">
        <v>408</v>
      </c>
      <c r="B1" s="1024" t="s">
        <v>684</v>
      </c>
      <c r="C1" s="1027" t="s">
        <v>685</v>
      </c>
      <c r="D1" s="1015" t="s">
        <v>686</v>
      </c>
      <c r="E1" s="1029"/>
      <c r="F1" s="1016"/>
      <c r="G1" s="1015" t="s">
        <v>686</v>
      </c>
      <c r="H1" s="1016"/>
      <c r="I1" s="1015" t="s">
        <v>686</v>
      </c>
      <c r="J1" s="1016"/>
      <c r="K1" s="1015" t="s">
        <v>686</v>
      </c>
      <c r="L1" s="1016"/>
      <c r="M1" s="1015" t="s">
        <v>686</v>
      </c>
      <c r="N1" s="1016"/>
      <c r="O1" s="1015" t="s">
        <v>686</v>
      </c>
      <c r="P1" s="1016"/>
      <c r="Q1" s="1015" t="s">
        <v>686</v>
      </c>
      <c r="R1" s="1016"/>
      <c r="S1" s="1015" t="s">
        <v>686</v>
      </c>
      <c r="T1" s="1016"/>
      <c r="U1" s="1015" t="s">
        <v>686</v>
      </c>
      <c r="V1" s="1016"/>
      <c r="W1" s="1015" t="s">
        <v>686</v>
      </c>
      <c r="X1" s="1016"/>
      <c r="Y1" s="1015" t="s">
        <v>686</v>
      </c>
      <c r="Z1" s="1016"/>
      <c r="AA1" s="873" t="s">
        <v>687</v>
      </c>
      <c r="AB1" s="1013" t="s">
        <v>687</v>
      </c>
      <c r="AC1" s="1013"/>
      <c r="AD1" s="1013"/>
      <c r="AE1" s="1013"/>
      <c r="AF1" s="1014" t="s">
        <v>687</v>
      </c>
      <c r="AG1" s="1014"/>
      <c r="AH1" s="1014"/>
      <c r="AI1" s="875" t="s">
        <v>687</v>
      </c>
      <c r="AJ1" s="875" t="s">
        <v>687</v>
      </c>
      <c r="AK1" s="875" t="s">
        <v>687</v>
      </c>
      <c r="AL1" s="875" t="s">
        <v>687</v>
      </c>
      <c r="AM1" s="1032" t="s">
        <v>687</v>
      </c>
      <c r="AN1" s="1032"/>
      <c r="AO1" s="1032"/>
      <c r="AP1" s="1032"/>
      <c r="AQ1" s="1036" t="s">
        <v>752</v>
      </c>
      <c r="AR1" s="1033" t="s">
        <v>771</v>
      </c>
      <c r="AS1" s="1034" t="s">
        <v>803</v>
      </c>
      <c r="AT1" s="1035" t="s">
        <v>776</v>
      </c>
      <c r="AU1" s="1031" t="s">
        <v>777</v>
      </c>
    </row>
    <row r="2" spans="1:47" ht="15" customHeight="1" x14ac:dyDescent="0.25">
      <c r="A2" s="1022"/>
      <c r="B2" s="1025"/>
      <c r="C2" s="1028"/>
      <c r="D2" s="1017" t="s">
        <v>688</v>
      </c>
      <c r="E2" s="1030"/>
      <c r="F2" s="1018"/>
      <c r="G2" s="1017" t="s">
        <v>689</v>
      </c>
      <c r="H2" s="1018"/>
      <c r="I2" s="1017" t="s">
        <v>690</v>
      </c>
      <c r="J2" s="1018"/>
      <c r="K2" s="1017" t="s">
        <v>691</v>
      </c>
      <c r="L2" s="1018"/>
      <c r="M2" s="1017" t="s">
        <v>692</v>
      </c>
      <c r="N2" s="1018"/>
      <c r="O2" s="1017" t="s">
        <v>693</v>
      </c>
      <c r="P2" s="1018"/>
      <c r="Q2" s="1017" t="s">
        <v>694</v>
      </c>
      <c r="R2" s="1018"/>
      <c r="S2" s="1017" t="s">
        <v>695</v>
      </c>
      <c r="T2" s="1018"/>
      <c r="U2" s="1017" t="s">
        <v>696</v>
      </c>
      <c r="V2" s="1018"/>
      <c r="W2" s="1017" t="s">
        <v>697</v>
      </c>
      <c r="X2" s="1018"/>
      <c r="Y2" s="1017" t="s">
        <v>698</v>
      </c>
      <c r="Z2" s="1018"/>
      <c r="AA2" s="781" t="s">
        <v>736</v>
      </c>
      <c r="AB2" s="1013" t="s">
        <v>737</v>
      </c>
      <c r="AC2" s="1013"/>
      <c r="AD2" s="1013"/>
      <c r="AE2" s="1013" t="s">
        <v>164</v>
      </c>
      <c r="AF2" s="1014" t="s">
        <v>738</v>
      </c>
      <c r="AG2" s="1014"/>
      <c r="AH2" s="1014"/>
      <c r="AI2" s="875" t="s">
        <v>753</v>
      </c>
      <c r="AJ2" s="875" t="s">
        <v>772</v>
      </c>
      <c r="AK2" s="875" t="s">
        <v>778</v>
      </c>
      <c r="AL2" s="875" t="s">
        <v>804</v>
      </c>
      <c r="AM2" s="1032" t="s">
        <v>805</v>
      </c>
      <c r="AN2" s="1032"/>
      <c r="AO2" s="1032"/>
      <c r="AP2" s="1032" t="s">
        <v>164</v>
      </c>
      <c r="AQ2" s="1037"/>
      <c r="AR2" s="1033"/>
      <c r="AS2" s="1034"/>
      <c r="AT2" s="1035"/>
      <c r="AU2" s="1031"/>
    </row>
    <row r="3" spans="1:47" ht="40.5" customHeight="1" thickBot="1" x14ac:dyDescent="0.3">
      <c r="A3" s="1023"/>
      <c r="B3" s="1026"/>
      <c r="C3" s="1026"/>
      <c r="D3" s="596" t="s">
        <v>179</v>
      </c>
      <c r="E3" s="596" t="s">
        <v>699</v>
      </c>
      <c r="F3" s="596" t="s">
        <v>178</v>
      </c>
      <c r="G3" s="596" t="s">
        <v>179</v>
      </c>
      <c r="H3" s="596" t="s">
        <v>699</v>
      </c>
      <c r="I3" s="596" t="s">
        <v>179</v>
      </c>
      <c r="J3" s="596" t="s">
        <v>699</v>
      </c>
      <c r="K3" s="596" t="s">
        <v>179</v>
      </c>
      <c r="L3" s="596" t="s">
        <v>699</v>
      </c>
      <c r="M3" s="596" t="s">
        <v>179</v>
      </c>
      <c r="N3" s="596" t="s">
        <v>699</v>
      </c>
      <c r="O3" s="596" t="s">
        <v>179</v>
      </c>
      <c r="P3" s="596" t="s">
        <v>699</v>
      </c>
      <c r="Q3" s="596" t="s">
        <v>179</v>
      </c>
      <c r="R3" s="596" t="s">
        <v>699</v>
      </c>
      <c r="S3" s="596" t="s">
        <v>179</v>
      </c>
      <c r="T3" s="596" t="s">
        <v>699</v>
      </c>
      <c r="U3" s="596" t="s">
        <v>179</v>
      </c>
      <c r="V3" s="596" t="s">
        <v>699</v>
      </c>
      <c r="W3" s="596" t="s">
        <v>179</v>
      </c>
      <c r="X3" s="596" t="s">
        <v>699</v>
      </c>
      <c r="Y3" s="596" t="s">
        <v>179</v>
      </c>
      <c r="Z3" s="596" t="s">
        <v>699</v>
      </c>
      <c r="AA3" s="596" t="s">
        <v>179</v>
      </c>
      <c r="AB3" s="874" t="s">
        <v>179</v>
      </c>
      <c r="AC3" s="874" t="s">
        <v>700</v>
      </c>
      <c r="AD3" s="874" t="s">
        <v>178</v>
      </c>
      <c r="AE3" s="1013"/>
      <c r="AF3" s="877" t="s">
        <v>179</v>
      </c>
      <c r="AG3" s="877" t="s">
        <v>700</v>
      </c>
      <c r="AH3" s="877" t="s">
        <v>164</v>
      </c>
      <c r="AI3" s="875" t="s">
        <v>179</v>
      </c>
      <c r="AJ3" s="875" t="s">
        <v>179</v>
      </c>
      <c r="AK3" s="875" t="s">
        <v>179</v>
      </c>
      <c r="AL3" s="875" t="s">
        <v>179</v>
      </c>
      <c r="AM3" s="876" t="str">
        <f>AB3</f>
        <v>működési</v>
      </c>
      <c r="AN3" s="876" t="str">
        <f>AC3</f>
        <v>beruházási</v>
      </c>
      <c r="AO3" s="876" t="str">
        <f>AD3</f>
        <v>alapítói</v>
      </c>
      <c r="AP3" s="1032"/>
      <c r="AQ3" s="1038"/>
      <c r="AR3" s="1033"/>
      <c r="AS3" s="1034"/>
      <c r="AT3" s="1035"/>
      <c r="AU3" s="1031"/>
    </row>
    <row r="4" spans="1:47" ht="45" x14ac:dyDescent="0.25">
      <c r="A4" s="754" t="s">
        <v>418</v>
      </c>
      <c r="B4" s="755" t="str">
        <f>[1]előirányzat!B3</f>
        <v>Szombathely Megyei jogú Város Önkormányzata</v>
      </c>
      <c r="C4" s="756">
        <v>79534</v>
      </c>
      <c r="D4" s="878">
        <f>'[2]2009. évi előirányzat'!M4</f>
        <v>0</v>
      </c>
      <c r="E4" s="878">
        <f>'[2]2009. évi előirányzat'!N4</f>
        <v>0</v>
      </c>
      <c r="F4" s="878">
        <f>'[2]2009. évi előirányzat'!O4</f>
        <v>0</v>
      </c>
      <c r="G4" s="878">
        <f>'[2]2010. évi előirányzat'!J4</f>
        <v>0</v>
      </c>
      <c r="H4" s="878">
        <f>'[2]2010. évi előirányzat'!K4</f>
        <v>0</v>
      </c>
      <c r="I4" s="878">
        <f>'[2]2011. évi előirányzat'!J4</f>
        <v>0</v>
      </c>
      <c r="J4" s="878">
        <f>'[2]2011. évi előirányzat'!K4</f>
        <v>0</v>
      </c>
      <c r="K4" s="878">
        <f>'[2]2012. évi előirányzat'!J4</f>
        <v>0</v>
      </c>
      <c r="L4" s="878">
        <f>'[2]2012. évi előirányzat'!K4</f>
        <v>0</v>
      </c>
      <c r="M4" s="878">
        <f>'[2]2013. előirányzat'!J4</f>
        <v>0</v>
      </c>
      <c r="N4" s="878">
        <f>'[2]2013. előirányzat'!K4</f>
        <v>0</v>
      </c>
      <c r="O4" s="878">
        <f>'[2]2014. évi előirányzat'!J4</f>
        <v>0</v>
      </c>
      <c r="P4" s="878">
        <f>'[2]2014. évi előirányzat'!K4</f>
        <v>0</v>
      </c>
      <c r="Q4" s="878">
        <f>'[2]2015. évi előirányzat'!J4</f>
        <v>0</v>
      </c>
      <c r="R4" s="878">
        <f>'[2]2015. évi előirányzat'!K4</f>
        <v>0</v>
      </c>
      <c r="S4" s="878">
        <f>'[2]2016 előirányzat'!J4</f>
        <v>0</v>
      </c>
      <c r="T4" s="878">
        <f>'[2]2016 előirányzat'!K4</f>
        <v>27041560</v>
      </c>
      <c r="U4" s="878">
        <f>'[2]2017. előirányzat'!J4</f>
        <v>7953400.0000000009</v>
      </c>
      <c r="V4" s="878">
        <f>'[2]2017. előirányzat'!K4</f>
        <v>39767000</v>
      </c>
      <c r="W4" s="878">
        <f>'[2]2018. előirányzat'!J4</f>
        <v>7953400.0000000009</v>
      </c>
      <c r="X4" s="878">
        <f>'[2]2018. előirányzat'!K4</f>
        <v>39767000</v>
      </c>
      <c r="Y4" s="878">
        <f>'[2]2019. előirányzat'!J4</f>
        <v>7953400.0000000009</v>
      </c>
      <c r="Z4" s="878">
        <f>'[2]2019. előirányzat'!K4</f>
        <v>39767000</v>
      </c>
      <c r="AA4" s="878">
        <f>'[2]2020. előirányzat'!G4</f>
        <v>7953400.0000000009</v>
      </c>
      <c r="AB4" s="879">
        <f>D4+G4+I4+K4+M4+O4+Q4+S4+U4+W4+Y4+AA4</f>
        <v>31813600.000000004</v>
      </c>
      <c r="AC4" s="879">
        <f>E4+H4+J4+L4+N4+P4+R4+T4+V4+X4+Z4</f>
        <v>146342560</v>
      </c>
      <c r="AD4" s="879">
        <f>F4</f>
        <v>0</v>
      </c>
      <c r="AE4" s="879">
        <f>AB4+AC4+AD4</f>
        <v>178156160</v>
      </c>
      <c r="AF4" s="880">
        <f>AB4</f>
        <v>31813600.000000004</v>
      </c>
      <c r="AG4" s="880">
        <f>AC4</f>
        <v>146342560</v>
      </c>
      <c r="AH4" s="880">
        <f>AF4+AG4</f>
        <v>178156160</v>
      </c>
      <c r="AI4" s="878">
        <f>'[2]2021. előirányzat'!G4</f>
        <v>7953400.0000000009</v>
      </c>
      <c r="AJ4" s="878">
        <f>'[2]2022. előirányzat'!G4</f>
        <v>7953400.0000000009</v>
      </c>
      <c r="AK4" s="878">
        <f>'[2]2023. előirányzat'!G4</f>
        <v>7953400.0000000009</v>
      </c>
      <c r="AL4" s="878">
        <f>'[2]2024. előirányzat'!G4</f>
        <v>0</v>
      </c>
      <c r="AM4" s="881">
        <f>AF4+AI4+AJ4+AK4+AL4</f>
        <v>55673800.000000007</v>
      </c>
      <c r="AN4" s="881">
        <f>AG4</f>
        <v>146342560</v>
      </c>
      <c r="AO4" s="881">
        <f>AD4</f>
        <v>0</v>
      </c>
      <c r="AP4" s="881">
        <f>AM4+AN4+AO4</f>
        <v>202016360</v>
      </c>
      <c r="AQ4" s="882"/>
      <c r="AR4" s="883">
        <f>V4+X4+Z4</f>
        <v>119301000</v>
      </c>
      <c r="AS4" s="884">
        <f>AP4-AR4</f>
        <v>82715360</v>
      </c>
      <c r="AT4" s="882"/>
      <c r="AU4" s="882" t="s">
        <v>779</v>
      </c>
    </row>
    <row r="5" spans="1:47" ht="30" x14ac:dyDescent="0.25">
      <c r="A5" s="885" t="s">
        <v>419</v>
      </c>
      <c r="B5" s="755" t="str">
        <f>[1]előirányzat!B4</f>
        <v>Acsád község Önkormányzata</v>
      </c>
      <c r="C5" s="756">
        <v>697</v>
      </c>
      <c r="D5" s="878">
        <f>'[2]2009. évi előirányzat'!M5</f>
        <v>0</v>
      </c>
      <c r="E5" s="878">
        <f>'[2]2009. évi előirányzat'!N5</f>
        <v>0</v>
      </c>
      <c r="F5" s="878">
        <f>'[2]2009. évi előirányzat'!O5</f>
        <v>0</v>
      </c>
      <c r="G5" s="878">
        <f>'[2]2010. évi előirányzat'!J5</f>
        <v>0</v>
      </c>
      <c r="H5" s="878">
        <f>'[2]2010. évi előirányzat'!K5</f>
        <v>0</v>
      </c>
      <c r="I5" s="878">
        <f>'[2]2011. évi előirányzat'!J5</f>
        <v>0</v>
      </c>
      <c r="J5" s="878">
        <f>'[2]2011. évi előirányzat'!K5</f>
        <v>0</v>
      </c>
      <c r="K5" s="878">
        <f>'[2]2012. évi előirányzat'!J5</f>
        <v>0</v>
      </c>
      <c r="L5" s="878">
        <f>'[2]2012. évi előirányzat'!K5</f>
        <v>0</v>
      </c>
      <c r="M5" s="878">
        <f>'[2]2013. előirányzat'!J5</f>
        <v>0</v>
      </c>
      <c r="N5" s="878">
        <f>'[2]2013. előirányzat'!K5</f>
        <v>0</v>
      </c>
      <c r="O5" s="878">
        <f>'[2]2014. évi előirányzat'!J5</f>
        <v>0</v>
      </c>
      <c r="P5" s="878">
        <f>'[2]2014. évi előirányzat'!K5</f>
        <v>0</v>
      </c>
      <c r="Q5" s="878">
        <f>'[2]2015. évi előirányzat'!J5</f>
        <v>0</v>
      </c>
      <c r="R5" s="878">
        <f>'[2]2015. évi előirányzat'!K5</f>
        <v>0</v>
      </c>
      <c r="S5" s="878">
        <f>'[2]2016 előirányzat'!J5</f>
        <v>0</v>
      </c>
      <c r="T5" s="878">
        <f>'[2]2016 előirányzat'!K5</f>
        <v>0</v>
      </c>
      <c r="U5" s="878">
        <f>'[2]2017. előirányzat'!J5</f>
        <v>0</v>
      </c>
      <c r="V5" s="878">
        <f>'[2]2017. előirányzat'!K5</f>
        <v>0</v>
      </c>
      <c r="W5" s="878">
        <f>'[2]2018. előirányzat'!J5</f>
        <v>0</v>
      </c>
      <c r="X5" s="878">
        <f>'[2]2018. előirányzat'!K5</f>
        <v>0</v>
      </c>
      <c r="Y5" s="878">
        <f>'[2]2019. előirányzat'!J5</f>
        <v>0</v>
      </c>
      <c r="Z5" s="878">
        <f>'[2]2019. előirányzat'!K5</f>
        <v>0</v>
      </c>
      <c r="AA5" s="878">
        <f>'[2]2020. előirányzat'!G5</f>
        <v>0</v>
      </c>
      <c r="AB5" s="879">
        <f t="shared" ref="AB5:AB68" si="0">D5+G5+I5+K5+M5+O5+Q5+S5+U5+W5+Y5+AA5</f>
        <v>0</v>
      </c>
      <c r="AC5" s="879">
        <f t="shared" ref="AC5:AC68" si="1">E5+H5+J5+L5+N5+P5+R5+T5+V5+X5+Z5</f>
        <v>0</v>
      </c>
      <c r="AD5" s="879">
        <f t="shared" ref="AD5:AD68" si="2">F5</f>
        <v>0</v>
      </c>
      <c r="AE5" s="879">
        <f t="shared" ref="AE5:AE68" si="3">AB5+AC5+AD5</f>
        <v>0</v>
      </c>
      <c r="AF5" s="880">
        <f t="shared" ref="AF5:AF68" si="4">AB5</f>
        <v>0</v>
      </c>
      <c r="AG5" s="880">
        <f>AC5</f>
        <v>0</v>
      </c>
      <c r="AH5" s="880">
        <f t="shared" ref="AH5:AH68" si="5">AF5+AG5</f>
        <v>0</v>
      </c>
      <c r="AI5" s="878">
        <f>'[2]2021. előirányzat'!G5</f>
        <v>0</v>
      </c>
      <c r="AJ5" s="878">
        <f>'[2]2022. előirányzat'!G5</f>
        <v>0</v>
      </c>
      <c r="AK5" s="878">
        <f>'[2]2023. előirányzat'!G5</f>
        <v>0</v>
      </c>
      <c r="AL5" s="878">
        <f>'[2]2024. előirányzat'!G5</f>
        <v>0</v>
      </c>
      <c r="AM5" s="881">
        <f t="shared" ref="AM5:AM68" si="6">AF5+AI5+AJ5+AK5+AL5</f>
        <v>0</v>
      </c>
      <c r="AN5" s="881">
        <f t="shared" ref="AN5:AN68" si="7">AG5</f>
        <v>0</v>
      </c>
      <c r="AO5" s="881">
        <f t="shared" ref="AO5:AO68" si="8">AD5</f>
        <v>0</v>
      </c>
      <c r="AP5" s="881">
        <f t="shared" ref="AP5:AP68" si="9">AM5+AN5+AO5</f>
        <v>0</v>
      </c>
      <c r="AQ5" s="882">
        <f>3*348500</f>
        <v>1045500</v>
      </c>
      <c r="AR5" s="883">
        <f>V5+X5+Z5</f>
        <v>0</v>
      </c>
      <c r="AS5" s="884">
        <f>AP5-AR5</f>
        <v>0</v>
      </c>
      <c r="AT5" s="882"/>
      <c r="AU5" s="882" t="s">
        <v>788</v>
      </c>
    </row>
    <row r="6" spans="1:47" ht="30" x14ac:dyDescent="0.25">
      <c r="A6" s="885" t="s">
        <v>420</v>
      </c>
      <c r="B6" s="757" t="str">
        <f>[1]előirányzat!B5</f>
        <v>Alsóújlak Község Önkormányzata</v>
      </c>
      <c r="C6" s="756">
        <v>618</v>
      </c>
      <c r="D6" s="878">
        <f>'[2]2009. évi előirányzat'!M6</f>
        <v>0</v>
      </c>
      <c r="E6" s="878">
        <f>'[2]2009. évi előirányzat'!N6</f>
        <v>0</v>
      </c>
      <c r="F6" s="878">
        <f>'[2]2009. évi előirányzat'!O6</f>
        <v>0</v>
      </c>
      <c r="G6" s="878">
        <f>'[2]2010. évi előirányzat'!J6</f>
        <v>0</v>
      </c>
      <c r="H6" s="878">
        <f>'[2]2010. évi előirányzat'!K6</f>
        <v>0</v>
      </c>
      <c r="I6" s="878">
        <f>'[2]2011. évi előirányzat'!J6</f>
        <v>0</v>
      </c>
      <c r="J6" s="878">
        <f>'[2]2011. évi előirányzat'!K6</f>
        <v>0</v>
      </c>
      <c r="K6" s="878">
        <f>'[2]2012. évi előirányzat'!J6</f>
        <v>0</v>
      </c>
      <c r="L6" s="878">
        <f>'[2]2012. évi előirányzat'!K6</f>
        <v>0</v>
      </c>
      <c r="M6" s="878">
        <f>'[2]2013. előirányzat'!J6</f>
        <v>0</v>
      </c>
      <c r="N6" s="878">
        <f>'[2]2013. előirányzat'!K6</f>
        <v>0</v>
      </c>
      <c r="O6" s="878">
        <f>'[2]2014. évi előirányzat'!J6</f>
        <v>0</v>
      </c>
      <c r="P6" s="878">
        <f>'[2]2014. évi előirányzat'!K6</f>
        <v>0</v>
      </c>
      <c r="Q6" s="878">
        <f>'[2]2015. évi előirányzat'!J6</f>
        <v>0</v>
      </c>
      <c r="R6" s="878">
        <f>'[2]2015. évi előirányzat'!K6</f>
        <v>0</v>
      </c>
      <c r="S6" s="878">
        <f>'[2]2016 előirányzat'!J6</f>
        <v>0</v>
      </c>
      <c r="T6" s="878">
        <f>'[2]2016 előirányzat'!K6</f>
        <v>0</v>
      </c>
      <c r="U6" s="878">
        <f>'[2]2017. előirányzat'!J6</f>
        <v>0</v>
      </c>
      <c r="V6" s="878">
        <f>'[2]2017. előirányzat'!K6</f>
        <v>-309000</v>
      </c>
      <c r="W6" s="878">
        <f>'[2]2018. előirányzat'!J6</f>
        <v>0</v>
      </c>
      <c r="X6" s="878">
        <f>'[2]2018. előirányzat'!K6</f>
        <v>0</v>
      </c>
      <c r="Y6" s="878">
        <f>'[2]2019. előirányzat'!J6</f>
        <v>0</v>
      </c>
      <c r="Z6" s="878">
        <f>'[2]2019. előirányzat'!K6</f>
        <v>0</v>
      </c>
      <c r="AA6" s="878">
        <f>'[2]2020. előirányzat'!G6</f>
        <v>0</v>
      </c>
      <c r="AB6" s="879">
        <f t="shared" si="0"/>
        <v>0</v>
      </c>
      <c r="AC6" s="879">
        <f t="shared" si="1"/>
        <v>-309000</v>
      </c>
      <c r="AD6" s="879">
        <f t="shared" si="2"/>
        <v>0</v>
      </c>
      <c r="AE6" s="879">
        <f t="shared" si="3"/>
        <v>-309000</v>
      </c>
      <c r="AF6" s="880">
        <f t="shared" si="4"/>
        <v>0</v>
      </c>
      <c r="AG6" s="880">
        <f>AE6+(3*61800)+123600</f>
        <v>0</v>
      </c>
      <c r="AH6" s="880">
        <f t="shared" si="5"/>
        <v>0</v>
      </c>
      <c r="AI6" s="878">
        <f>'[2]2021. előirányzat'!G6</f>
        <v>0</v>
      </c>
      <c r="AJ6" s="878">
        <f>'[2]2022. előirányzat'!G6</f>
        <v>0</v>
      </c>
      <c r="AK6" s="878">
        <f>'[2]2023. előirányzat'!G6</f>
        <v>0</v>
      </c>
      <c r="AL6" s="878">
        <f>'[2]2024. előirányzat'!G6</f>
        <v>0</v>
      </c>
      <c r="AM6" s="881">
        <f t="shared" si="6"/>
        <v>0</v>
      </c>
      <c r="AN6" s="881">
        <f t="shared" si="7"/>
        <v>0</v>
      </c>
      <c r="AO6" s="881">
        <f t="shared" si="8"/>
        <v>0</v>
      </c>
      <c r="AP6" s="881">
        <f t="shared" si="9"/>
        <v>0</v>
      </c>
      <c r="AQ6" s="882"/>
      <c r="AR6" s="883"/>
      <c r="AS6" s="884"/>
      <c r="AT6" s="882"/>
      <c r="AU6" s="882" t="s">
        <v>780</v>
      </c>
    </row>
    <row r="7" spans="1:47" ht="30" x14ac:dyDescent="0.25">
      <c r="A7" s="754" t="s">
        <v>421</v>
      </c>
      <c r="B7" s="757" t="str">
        <f>[1]előirányzat!B6</f>
        <v>Bajánsenye Község Önkormányzata</v>
      </c>
      <c r="C7" s="756">
        <v>533</v>
      </c>
      <c r="D7" s="878">
        <f>'[2]2009. évi előirányzat'!M7</f>
        <v>0</v>
      </c>
      <c r="E7" s="878">
        <f>'[2]2009. évi előirányzat'!N7</f>
        <v>0</v>
      </c>
      <c r="F7" s="878">
        <f>'[2]2009. évi előirányzat'!O7</f>
        <v>0</v>
      </c>
      <c r="G7" s="878">
        <f>'[2]2010. évi előirányzat'!J7</f>
        <v>0</v>
      </c>
      <c r="H7" s="878">
        <f>'[2]2010. évi előirányzat'!K7</f>
        <v>0</v>
      </c>
      <c r="I7" s="878">
        <f>'[2]2011. évi előirányzat'!J7</f>
        <v>0</v>
      </c>
      <c r="J7" s="878">
        <f>'[2]2011. évi előirányzat'!K7</f>
        <v>0</v>
      </c>
      <c r="K7" s="878">
        <f>'[2]2012. évi előirányzat'!J7</f>
        <v>0</v>
      </c>
      <c r="L7" s="878">
        <f>'[2]2012. évi előirányzat'!K7</f>
        <v>0</v>
      </c>
      <c r="M7" s="878">
        <f>'[2]2013. előirányzat'!J7</f>
        <v>0</v>
      </c>
      <c r="N7" s="878">
        <f>'[2]2013. előirányzat'!K7</f>
        <v>0</v>
      </c>
      <c r="O7" s="878">
        <f>'[2]2014. évi előirányzat'!J7</f>
        <v>0</v>
      </c>
      <c r="P7" s="878">
        <f>'[2]2014. évi előirányzat'!K7</f>
        <v>0</v>
      </c>
      <c r="Q7" s="878">
        <f>'[2]2015. évi előirányzat'!J7</f>
        <v>0</v>
      </c>
      <c r="R7" s="878">
        <f>'[2]2015. évi előirányzat'!K7</f>
        <v>0</v>
      </c>
      <c r="S7" s="878">
        <f>'[2]2016 előirányzat'!J7</f>
        <v>0</v>
      </c>
      <c r="T7" s="878">
        <f>'[2]2016 előirányzat'!K7</f>
        <v>0</v>
      </c>
      <c r="U7" s="878">
        <f>'[2]2017. előirányzat'!J7</f>
        <v>0</v>
      </c>
      <c r="V7" s="878">
        <f>'[2]2017. előirányzat'!K7</f>
        <v>-266500</v>
      </c>
      <c r="W7" s="878">
        <f>'[2]2018. előirányzat'!J7</f>
        <v>0</v>
      </c>
      <c r="X7" s="878">
        <f>'[2]2018. előirányzat'!K7</f>
        <v>0</v>
      </c>
      <c r="Y7" s="878">
        <f>'[2]2019. előirányzat'!J7</f>
        <v>0</v>
      </c>
      <c r="Z7" s="878">
        <f>'[2]2019. előirányzat'!K7</f>
        <v>0</v>
      </c>
      <c r="AA7" s="878">
        <f>'[2]2020. előirányzat'!G7</f>
        <v>0</v>
      </c>
      <c r="AB7" s="879">
        <f t="shared" si="0"/>
        <v>0</v>
      </c>
      <c r="AC7" s="879">
        <f t="shared" si="1"/>
        <v>-266500</v>
      </c>
      <c r="AD7" s="879">
        <f t="shared" si="2"/>
        <v>0</v>
      </c>
      <c r="AE7" s="879">
        <f t="shared" si="3"/>
        <v>-266500</v>
      </c>
      <c r="AF7" s="880">
        <f t="shared" si="4"/>
        <v>0</v>
      </c>
      <c r="AG7" s="880">
        <f>AE7+(2*53300)+159900</f>
        <v>0</v>
      </c>
      <c r="AH7" s="880">
        <f t="shared" si="5"/>
        <v>0</v>
      </c>
      <c r="AI7" s="878">
        <f>'[2]2021. előirányzat'!G7</f>
        <v>0</v>
      </c>
      <c r="AJ7" s="878">
        <f>'[2]2022. előirányzat'!G7</f>
        <v>0</v>
      </c>
      <c r="AK7" s="878">
        <f>'[2]2023. előirányzat'!G7</f>
        <v>0</v>
      </c>
      <c r="AL7" s="878">
        <f>'[2]2024. előirányzat'!G7</f>
        <v>0</v>
      </c>
      <c r="AM7" s="881">
        <f t="shared" si="6"/>
        <v>0</v>
      </c>
      <c r="AN7" s="881">
        <f t="shared" si="7"/>
        <v>0</v>
      </c>
      <c r="AO7" s="881">
        <f t="shared" si="8"/>
        <v>0</v>
      </c>
      <c r="AP7" s="881">
        <f t="shared" si="9"/>
        <v>0</v>
      </c>
      <c r="AQ7" s="882"/>
      <c r="AR7" s="883"/>
      <c r="AS7" s="884"/>
      <c r="AT7" s="882"/>
      <c r="AU7" s="882" t="s">
        <v>781</v>
      </c>
    </row>
    <row r="8" spans="1:47" ht="30" x14ac:dyDescent="0.25">
      <c r="A8" s="885" t="s">
        <v>422</v>
      </c>
      <c r="B8" s="759" t="str">
        <f>[1]előirányzat!B7</f>
        <v>Balogunyom Község Önkormányzata</v>
      </c>
      <c r="C8" s="756">
        <v>1268</v>
      </c>
      <c r="D8" s="878">
        <f>'[2]2009. évi előirányzat'!M8</f>
        <v>0</v>
      </c>
      <c r="E8" s="878">
        <f>'[2]2009. évi előirányzat'!N8</f>
        <v>0</v>
      </c>
      <c r="F8" s="878">
        <f>'[2]2009. évi előirányzat'!O8</f>
        <v>0</v>
      </c>
      <c r="G8" s="878">
        <f>'[2]2010. évi előirányzat'!J8</f>
        <v>0</v>
      </c>
      <c r="H8" s="878">
        <f>'[2]2010. évi előirányzat'!K8</f>
        <v>0</v>
      </c>
      <c r="I8" s="878">
        <f>'[2]2011. évi előirányzat'!J8</f>
        <v>0</v>
      </c>
      <c r="J8" s="878">
        <f>'[2]2011. évi előirányzat'!K8</f>
        <v>0</v>
      </c>
      <c r="K8" s="878">
        <f>'[2]2012. évi előirányzat'!J8</f>
        <v>0</v>
      </c>
      <c r="L8" s="878">
        <f>'[2]2012. évi előirányzat'!K8</f>
        <v>0</v>
      </c>
      <c r="M8" s="878">
        <f>'[2]2013. előirányzat'!J8</f>
        <v>0</v>
      </c>
      <c r="N8" s="878">
        <f>'[2]2013. előirányzat'!K8</f>
        <v>0</v>
      </c>
      <c r="O8" s="878">
        <f>'[2]2014. évi előirányzat'!J8</f>
        <v>0</v>
      </c>
      <c r="P8" s="878">
        <f>'[2]2014. évi előirányzat'!K8</f>
        <v>0</v>
      </c>
      <c r="Q8" s="878">
        <f>'[2]2015. évi előirányzat'!J8</f>
        <v>0</v>
      </c>
      <c r="R8" s="878">
        <f>'[2]2015. évi előirányzat'!K8</f>
        <v>0</v>
      </c>
      <c r="S8" s="878">
        <f>'[2]2016 előirányzat'!J8</f>
        <v>0</v>
      </c>
      <c r="T8" s="878">
        <f>'[2]2016 előirányzat'!K8</f>
        <v>0</v>
      </c>
      <c r="U8" s="878">
        <f>'[2]2017. előirányzat'!J8</f>
        <v>0</v>
      </c>
      <c r="V8" s="878">
        <f>'[2]2017. előirányzat'!K8</f>
        <v>0</v>
      </c>
      <c r="W8" s="878">
        <f>'[2]2018. előirányzat'!J8</f>
        <v>0</v>
      </c>
      <c r="X8" s="878">
        <f>'[2]2018. előirányzat'!K8</f>
        <v>0</v>
      </c>
      <c r="Y8" s="878">
        <f>'[2]2019. előirányzat'!J8</f>
        <v>0</v>
      </c>
      <c r="Z8" s="878">
        <f>'[2]2019. előirányzat'!K8</f>
        <v>0</v>
      </c>
      <c r="AA8" s="878">
        <f>'[2]2020. előirányzat'!G8</f>
        <v>0</v>
      </c>
      <c r="AB8" s="879">
        <f t="shared" si="0"/>
        <v>0</v>
      </c>
      <c r="AC8" s="879">
        <f t="shared" si="1"/>
        <v>0</v>
      </c>
      <c r="AD8" s="879">
        <f t="shared" si="2"/>
        <v>0</v>
      </c>
      <c r="AE8" s="879">
        <f t="shared" si="3"/>
        <v>0</v>
      </c>
      <c r="AF8" s="880">
        <f t="shared" si="4"/>
        <v>0</v>
      </c>
      <c r="AG8" s="880">
        <f>AC8</f>
        <v>0</v>
      </c>
      <c r="AH8" s="880">
        <f t="shared" si="5"/>
        <v>0</v>
      </c>
      <c r="AI8" s="878">
        <f>'[2]2021. előirányzat'!G8</f>
        <v>0</v>
      </c>
      <c r="AJ8" s="878">
        <f>'[2]2022. előirányzat'!G8</f>
        <v>0</v>
      </c>
      <c r="AK8" s="878">
        <f>'[2]2023. előirányzat'!G8</f>
        <v>0</v>
      </c>
      <c r="AL8" s="878">
        <f>'[2]2024. előirányzat'!G8</f>
        <v>0</v>
      </c>
      <c r="AM8" s="881">
        <f t="shared" si="6"/>
        <v>0</v>
      </c>
      <c r="AN8" s="881">
        <f t="shared" si="7"/>
        <v>0</v>
      </c>
      <c r="AO8" s="881">
        <f t="shared" si="8"/>
        <v>0</v>
      </c>
      <c r="AP8" s="881">
        <f t="shared" si="9"/>
        <v>0</v>
      </c>
      <c r="AQ8" s="882"/>
      <c r="AR8" s="883">
        <f>V8+X8+Z8</f>
        <v>0</v>
      </c>
      <c r="AS8" s="884">
        <f>AP8-AR8</f>
        <v>0</v>
      </c>
      <c r="AT8" s="882" t="s">
        <v>782</v>
      </c>
      <c r="AU8" s="882" t="s">
        <v>788</v>
      </c>
    </row>
    <row r="9" spans="1:47" ht="45" x14ac:dyDescent="0.25">
      <c r="A9" s="885" t="s">
        <v>423</v>
      </c>
      <c r="B9" s="757" t="str">
        <f>[1]előirányzat!B8</f>
        <v>Bejcgyertyános Község Önkormányzata</v>
      </c>
      <c r="C9" s="756">
        <v>500</v>
      </c>
      <c r="D9" s="878">
        <f>'[2]2009. évi előirányzat'!M9</f>
        <v>0</v>
      </c>
      <c r="E9" s="878">
        <f>'[2]2009. évi előirányzat'!N9</f>
        <v>0</v>
      </c>
      <c r="F9" s="878">
        <f>'[2]2009. évi előirányzat'!O9</f>
        <v>0</v>
      </c>
      <c r="G9" s="878">
        <f>'[2]2010. évi előirányzat'!J9</f>
        <v>0</v>
      </c>
      <c r="H9" s="878">
        <f>'[2]2010. évi előirányzat'!K9</f>
        <v>0</v>
      </c>
      <c r="I9" s="878">
        <f>'[2]2011. évi előirányzat'!J9</f>
        <v>0</v>
      </c>
      <c r="J9" s="878">
        <f>'[2]2011. évi előirányzat'!K9</f>
        <v>0</v>
      </c>
      <c r="K9" s="878">
        <f>'[2]2012. évi előirányzat'!J9</f>
        <v>0</v>
      </c>
      <c r="L9" s="878">
        <f>'[2]2012. évi előirányzat'!K9</f>
        <v>0</v>
      </c>
      <c r="M9" s="878">
        <f>'[2]2013. előirányzat'!J9</f>
        <v>0</v>
      </c>
      <c r="N9" s="878">
        <f>'[2]2013. előirányzat'!K9</f>
        <v>0</v>
      </c>
      <c r="O9" s="878">
        <f>'[2]2014. évi előirányzat'!J9</f>
        <v>0</v>
      </c>
      <c r="P9" s="878">
        <f>'[2]2014. évi előirányzat'!K9</f>
        <v>0</v>
      </c>
      <c r="Q9" s="878">
        <f>'[2]2015. évi előirányzat'!J9</f>
        <v>0</v>
      </c>
      <c r="R9" s="878">
        <f>'[2]2015. évi előirányzat'!K9</f>
        <v>0</v>
      </c>
      <c r="S9" s="878">
        <f>'[2]2016 előirányzat'!J9</f>
        <v>0</v>
      </c>
      <c r="T9" s="878">
        <f>'[2]2016 előirányzat'!K9</f>
        <v>0</v>
      </c>
      <c r="U9" s="878">
        <f>'[2]2017. előirányzat'!J9</f>
        <v>0</v>
      </c>
      <c r="V9" s="878">
        <f>'[2]2017. előirányzat'!K9</f>
        <v>-250000</v>
      </c>
      <c r="W9" s="878">
        <f>'[2]2018. előirányzat'!J9</f>
        <v>0</v>
      </c>
      <c r="X9" s="878">
        <f>'[2]2018. előirányzat'!K9</f>
        <v>0</v>
      </c>
      <c r="Y9" s="878">
        <f>'[2]2019. előirányzat'!J9</f>
        <v>0</v>
      </c>
      <c r="Z9" s="878">
        <f>'[2]2019. előirányzat'!K9</f>
        <v>0</v>
      </c>
      <c r="AA9" s="878">
        <f>'[2]2020. előirányzat'!G9</f>
        <v>0</v>
      </c>
      <c r="AB9" s="879">
        <f t="shared" si="0"/>
        <v>0</v>
      </c>
      <c r="AC9" s="879">
        <f t="shared" si="1"/>
        <v>-250000</v>
      </c>
      <c r="AD9" s="879">
        <f t="shared" si="2"/>
        <v>0</v>
      </c>
      <c r="AE9" s="879">
        <f t="shared" si="3"/>
        <v>-250000</v>
      </c>
      <c r="AF9" s="880">
        <f t="shared" si="4"/>
        <v>0</v>
      </c>
      <c r="AG9" s="880">
        <f>AE9+(7500+2*50000)+142500</f>
        <v>0</v>
      </c>
      <c r="AH9" s="880">
        <f t="shared" si="5"/>
        <v>0</v>
      </c>
      <c r="AI9" s="878">
        <f>'[2]2021. előirányzat'!G9</f>
        <v>0</v>
      </c>
      <c r="AJ9" s="878">
        <f>'[2]2022. előirányzat'!G9</f>
        <v>0</v>
      </c>
      <c r="AK9" s="878">
        <f>'[2]2023. előirányzat'!G9</f>
        <v>0</v>
      </c>
      <c r="AL9" s="878">
        <f>'[2]2024. előirányzat'!G9</f>
        <v>0</v>
      </c>
      <c r="AM9" s="881">
        <f t="shared" si="6"/>
        <v>0</v>
      </c>
      <c r="AN9" s="881">
        <f t="shared" si="7"/>
        <v>0</v>
      </c>
      <c r="AO9" s="881">
        <f t="shared" si="8"/>
        <v>0</v>
      </c>
      <c r="AP9" s="881">
        <f t="shared" si="9"/>
        <v>0</v>
      </c>
      <c r="AQ9" s="882"/>
      <c r="AR9" s="883"/>
      <c r="AS9" s="884"/>
      <c r="AT9" s="882"/>
      <c r="AU9" s="882" t="s">
        <v>783</v>
      </c>
    </row>
    <row r="10" spans="1:47" ht="30" x14ac:dyDescent="0.25">
      <c r="A10" s="754" t="s">
        <v>424</v>
      </c>
      <c r="B10" s="757" t="str">
        <f>[1]előirányzat!B9</f>
        <v>Bozsok Község Önkormányzata</v>
      </c>
      <c r="C10" s="756">
        <v>348</v>
      </c>
      <c r="D10" s="878">
        <f>'[2]2009. évi előirányzat'!M10</f>
        <v>0</v>
      </c>
      <c r="E10" s="878">
        <f>'[2]2009. évi előirányzat'!N10</f>
        <v>0</v>
      </c>
      <c r="F10" s="878">
        <f>'[2]2009. évi előirányzat'!O10</f>
        <v>0</v>
      </c>
      <c r="G10" s="878">
        <f>'[2]2010. évi előirányzat'!J10</f>
        <v>0</v>
      </c>
      <c r="H10" s="878">
        <f>'[2]2010. évi előirányzat'!K10</f>
        <v>0</v>
      </c>
      <c r="I10" s="878">
        <f>'[2]2011. évi előirányzat'!J10</f>
        <v>0</v>
      </c>
      <c r="J10" s="878">
        <f>'[2]2011. évi előirányzat'!K10</f>
        <v>0</v>
      </c>
      <c r="K10" s="878">
        <f>'[2]2012. évi előirányzat'!J10</f>
        <v>0</v>
      </c>
      <c r="L10" s="878">
        <f>'[2]2012. évi előirányzat'!K10</f>
        <v>0</v>
      </c>
      <c r="M10" s="878">
        <f>'[2]2013. előirányzat'!J10</f>
        <v>0</v>
      </c>
      <c r="N10" s="878">
        <f>'[2]2013. előirányzat'!K10</f>
        <v>0</v>
      </c>
      <c r="O10" s="878">
        <f>'[2]2014. évi előirányzat'!J10</f>
        <v>0</v>
      </c>
      <c r="P10" s="878">
        <f>'[2]2014. évi előirányzat'!K10</f>
        <v>0</v>
      </c>
      <c r="Q10" s="878">
        <f>'[2]2015. évi előirányzat'!J10</f>
        <v>0</v>
      </c>
      <c r="R10" s="878">
        <f>'[2]2015. évi előirányzat'!K10</f>
        <v>0</v>
      </c>
      <c r="S10" s="878">
        <f>'[2]2016 előirányzat'!J10</f>
        <v>0</v>
      </c>
      <c r="T10" s="878">
        <f>'[2]2016 előirányzat'!K10</f>
        <v>0</v>
      </c>
      <c r="U10" s="878">
        <f>'[2]2017. előirányzat'!J10</f>
        <v>0</v>
      </c>
      <c r="V10" s="878">
        <f>'[2]2017. előirányzat'!K10</f>
        <v>-174000</v>
      </c>
      <c r="W10" s="878">
        <f>'[2]2018. előirányzat'!J10</f>
        <v>0</v>
      </c>
      <c r="X10" s="878">
        <f>'[2]2018. előirányzat'!K10</f>
        <v>-7200</v>
      </c>
      <c r="Y10" s="878">
        <f>'[2]2019. előirányzat'!J10</f>
        <v>0</v>
      </c>
      <c r="Z10" s="878">
        <f>'[2]2019. előirányzat'!K10</f>
        <v>0</v>
      </c>
      <c r="AA10" s="878">
        <f>'[2]2020. előirányzat'!G10</f>
        <v>0</v>
      </c>
      <c r="AB10" s="879">
        <f t="shared" si="0"/>
        <v>0</v>
      </c>
      <c r="AC10" s="879">
        <f t="shared" si="1"/>
        <v>-181200</v>
      </c>
      <c r="AD10" s="879">
        <f t="shared" si="2"/>
        <v>0</v>
      </c>
      <c r="AE10" s="879">
        <f t="shared" si="3"/>
        <v>-181200</v>
      </c>
      <c r="AF10" s="880">
        <f t="shared" si="4"/>
        <v>0</v>
      </c>
      <c r="AG10" s="880">
        <f>AE10+34800+146400</f>
        <v>0</v>
      </c>
      <c r="AH10" s="880">
        <f t="shared" si="5"/>
        <v>0</v>
      </c>
      <c r="AI10" s="878">
        <f>'[2]2021. előirányzat'!G10</f>
        <v>0</v>
      </c>
      <c r="AJ10" s="878">
        <f>'[2]2022. előirányzat'!G10</f>
        <v>0</v>
      </c>
      <c r="AK10" s="878">
        <f>'[2]2023. előirányzat'!G10</f>
        <v>0</v>
      </c>
      <c r="AL10" s="878">
        <f>'[2]2024. előirányzat'!G10</f>
        <v>0</v>
      </c>
      <c r="AM10" s="881">
        <f t="shared" si="6"/>
        <v>0</v>
      </c>
      <c r="AN10" s="881">
        <f t="shared" si="7"/>
        <v>0</v>
      </c>
      <c r="AO10" s="881">
        <f t="shared" si="8"/>
        <v>0</v>
      </c>
      <c r="AP10" s="881">
        <f t="shared" si="9"/>
        <v>0</v>
      </c>
      <c r="AQ10" s="882"/>
      <c r="AR10" s="883"/>
      <c r="AS10" s="884"/>
      <c r="AT10" s="882"/>
      <c r="AU10" s="882" t="s">
        <v>784</v>
      </c>
    </row>
    <row r="11" spans="1:47" ht="30" x14ac:dyDescent="0.25">
      <c r="A11" s="885" t="s">
        <v>425</v>
      </c>
      <c r="B11" s="755" t="str">
        <f>[1]előirányzat!B10</f>
        <v>Bozzai Község Önkormányzata</v>
      </c>
      <c r="C11" s="755">
        <v>326</v>
      </c>
      <c r="D11" s="878">
        <f>'[2]2009. évi előirányzat'!M11</f>
        <v>0</v>
      </c>
      <c r="E11" s="878">
        <f>'[2]2009. évi előirányzat'!N11</f>
        <v>0</v>
      </c>
      <c r="F11" s="878">
        <f>'[2]2009. évi előirányzat'!O11</f>
        <v>0</v>
      </c>
      <c r="G11" s="878">
        <f>'[2]2010. évi előirányzat'!J11</f>
        <v>0</v>
      </c>
      <c r="H11" s="878">
        <f>'[2]2010. évi előirányzat'!K11</f>
        <v>0</v>
      </c>
      <c r="I11" s="878">
        <f>'[2]2011. évi előirányzat'!J11</f>
        <v>0</v>
      </c>
      <c r="J11" s="878">
        <f>'[2]2011. évi előirányzat'!K11</f>
        <v>0</v>
      </c>
      <c r="K11" s="878">
        <f>'[2]2012. évi előirányzat'!J11</f>
        <v>0</v>
      </c>
      <c r="L11" s="878">
        <f>'[2]2012. évi előirányzat'!K11</f>
        <v>0</v>
      </c>
      <c r="M11" s="878">
        <f>'[2]2013. előirányzat'!J11</f>
        <v>0</v>
      </c>
      <c r="N11" s="878">
        <f>'[2]2013. előirányzat'!K11</f>
        <v>0</v>
      </c>
      <c r="O11" s="878">
        <f>'[2]2014. évi előirányzat'!J11</f>
        <v>32600</v>
      </c>
      <c r="P11" s="878">
        <f>'[2]2014. évi előirányzat'!K11</f>
        <v>0</v>
      </c>
      <c r="Q11" s="878">
        <f>'[2]2015. évi előirányzat'!J11</f>
        <v>32600</v>
      </c>
      <c r="R11" s="878">
        <f>'[2]2015. évi előirányzat'!K11</f>
        <v>163000</v>
      </c>
      <c r="S11" s="878">
        <f>'[2]2016 előirányzat'!J11</f>
        <v>32600</v>
      </c>
      <c r="T11" s="878">
        <f>'[2]2016 előirányzat'!K11</f>
        <v>163000</v>
      </c>
      <c r="U11" s="878">
        <f>'[2]2017. előirányzat'!J11</f>
        <v>32600</v>
      </c>
      <c r="V11" s="878">
        <f>'[2]2017. előirányzat'!K11</f>
        <v>163000</v>
      </c>
      <c r="W11" s="878">
        <f>'[2]2018. előirányzat'!J11</f>
        <v>32600</v>
      </c>
      <c r="X11" s="878">
        <f>'[2]2018. előirányzat'!K11</f>
        <v>163000</v>
      </c>
      <c r="Y11" s="878">
        <f>'[2]2019. előirányzat'!J11</f>
        <v>32600</v>
      </c>
      <c r="Z11" s="878">
        <f>'[2]2019. előirányzat'!K11</f>
        <v>163000</v>
      </c>
      <c r="AA11" s="878">
        <f>'[2]2020. előirányzat'!G11</f>
        <v>32600</v>
      </c>
      <c r="AB11" s="879">
        <f t="shared" si="0"/>
        <v>228200</v>
      </c>
      <c r="AC11" s="879">
        <f t="shared" si="1"/>
        <v>815000</v>
      </c>
      <c r="AD11" s="879">
        <f t="shared" si="2"/>
        <v>0</v>
      </c>
      <c r="AE11" s="879">
        <f t="shared" si="3"/>
        <v>1043200</v>
      </c>
      <c r="AF11" s="880">
        <f t="shared" si="4"/>
        <v>228200</v>
      </c>
      <c r="AG11" s="880">
        <f>AC11</f>
        <v>815000</v>
      </c>
      <c r="AH11" s="880">
        <f t="shared" si="5"/>
        <v>1043200</v>
      </c>
      <c r="AI11" s="878">
        <f>'[2]2021. előirányzat'!G11</f>
        <v>32600</v>
      </c>
      <c r="AJ11" s="878">
        <f>'[2]2022. előirányzat'!G11</f>
        <v>32600</v>
      </c>
      <c r="AK11" s="878">
        <f>'[2]2023. előirányzat'!G11</f>
        <v>32600</v>
      </c>
      <c r="AL11" s="878">
        <f>'[2]2024. előirányzat'!G11</f>
        <v>0</v>
      </c>
      <c r="AM11" s="881">
        <f t="shared" si="6"/>
        <v>326000</v>
      </c>
      <c r="AN11" s="881">
        <f t="shared" si="7"/>
        <v>815000</v>
      </c>
      <c r="AO11" s="881">
        <f t="shared" si="8"/>
        <v>0</v>
      </c>
      <c r="AP11" s="881">
        <f t="shared" si="9"/>
        <v>1141000</v>
      </c>
      <c r="AQ11" s="882"/>
      <c r="AR11" s="883">
        <f>V11+X11+Z11</f>
        <v>489000</v>
      </c>
      <c r="AS11" s="884">
        <f>AP11-AR11</f>
        <v>652000</v>
      </c>
      <c r="AT11" s="882"/>
      <c r="AU11" s="882" t="s">
        <v>788</v>
      </c>
    </row>
    <row r="12" spans="1:47" ht="30" x14ac:dyDescent="0.25">
      <c r="A12" s="885" t="s">
        <v>426</v>
      </c>
      <c r="B12" s="755" t="str">
        <f>[1]előirányzat!B11</f>
        <v>Bucsu Község Önkormányzata</v>
      </c>
      <c r="C12" s="755">
        <v>606</v>
      </c>
      <c r="D12" s="878">
        <f>'[2]2009. évi előirányzat'!M12</f>
        <v>0</v>
      </c>
      <c r="E12" s="878">
        <f>'[2]2009. évi előirányzat'!N12</f>
        <v>0</v>
      </c>
      <c r="F12" s="878">
        <f>'[2]2009. évi előirányzat'!O12</f>
        <v>0</v>
      </c>
      <c r="G12" s="878">
        <f>'[2]2010. évi előirányzat'!J12</f>
        <v>0</v>
      </c>
      <c r="H12" s="878">
        <f>'[2]2010. évi előirányzat'!K12</f>
        <v>0</v>
      </c>
      <c r="I12" s="878">
        <f>'[2]2011. évi előirányzat'!J12</f>
        <v>0</v>
      </c>
      <c r="J12" s="878">
        <f>'[2]2011. évi előirányzat'!K12</f>
        <v>0</v>
      </c>
      <c r="K12" s="878">
        <f>'[2]2012. évi előirányzat'!J12</f>
        <v>0</v>
      </c>
      <c r="L12" s="878">
        <f>'[2]2012. évi előirányzat'!K12</f>
        <v>0</v>
      </c>
      <c r="M12" s="878">
        <f>'[2]2013. előirányzat'!J12</f>
        <v>0</v>
      </c>
      <c r="N12" s="878">
        <f>'[2]2013. előirányzat'!K12</f>
        <v>0</v>
      </c>
      <c r="O12" s="878">
        <f>'[2]2014. évi előirányzat'!J12</f>
        <v>0</v>
      </c>
      <c r="P12" s="878">
        <f>'[2]2014. évi előirányzat'!K12</f>
        <v>0</v>
      </c>
      <c r="Q12" s="878">
        <f>'[2]2015. évi előirányzat'!J12</f>
        <v>0</v>
      </c>
      <c r="R12" s="878">
        <f>'[2]2015. évi előirányzat'!K12</f>
        <v>0</v>
      </c>
      <c r="S12" s="878">
        <f>'[2]2016 előirányzat'!J12</f>
        <v>0</v>
      </c>
      <c r="T12" s="878">
        <f>'[2]2016 előirányzat'!K12</f>
        <v>101000</v>
      </c>
      <c r="U12" s="878">
        <f>'[2]2017. előirányzat'!J12</f>
        <v>60600</v>
      </c>
      <c r="V12" s="878">
        <f>'[2]2017. előirányzat'!K12</f>
        <v>303000</v>
      </c>
      <c r="W12" s="878">
        <f>'[2]2018. előirányzat'!J12</f>
        <v>60600</v>
      </c>
      <c r="X12" s="878">
        <f>'[2]2018. előirányzat'!K12</f>
        <v>303000</v>
      </c>
      <c r="Y12" s="878">
        <f>'[2]2019. előirányzat'!J12</f>
        <v>60600</v>
      </c>
      <c r="Z12" s="878">
        <f>'[2]2019. előirányzat'!K12</f>
        <v>303000</v>
      </c>
      <c r="AA12" s="878">
        <f>'[2]2020. előirányzat'!G12</f>
        <v>60600</v>
      </c>
      <c r="AB12" s="879">
        <f t="shared" si="0"/>
        <v>242400</v>
      </c>
      <c r="AC12" s="879">
        <f t="shared" si="1"/>
        <v>1010000</v>
      </c>
      <c r="AD12" s="879">
        <f t="shared" si="2"/>
        <v>0</v>
      </c>
      <c r="AE12" s="879">
        <f t="shared" si="3"/>
        <v>1252400</v>
      </c>
      <c r="AF12" s="880">
        <f t="shared" si="4"/>
        <v>242400</v>
      </c>
      <c r="AG12" s="880">
        <f>AC12</f>
        <v>1010000</v>
      </c>
      <c r="AH12" s="880">
        <f t="shared" si="5"/>
        <v>1252400</v>
      </c>
      <c r="AI12" s="878">
        <f>'[2]2021. előirányzat'!G12</f>
        <v>60600</v>
      </c>
      <c r="AJ12" s="878">
        <f>'[2]2022. előirányzat'!G12</f>
        <v>60600</v>
      </c>
      <c r="AK12" s="878">
        <f>'[2]2023. előirányzat'!G12</f>
        <v>60600</v>
      </c>
      <c r="AL12" s="878">
        <f>'[2]2024. előirányzat'!G12</f>
        <v>0</v>
      </c>
      <c r="AM12" s="881">
        <f t="shared" si="6"/>
        <v>424200</v>
      </c>
      <c r="AN12" s="881">
        <f t="shared" si="7"/>
        <v>1010000</v>
      </c>
      <c r="AO12" s="881">
        <f t="shared" si="8"/>
        <v>0</v>
      </c>
      <c r="AP12" s="881">
        <f t="shared" si="9"/>
        <v>1434200</v>
      </c>
      <c r="AQ12" s="882"/>
      <c r="AR12" s="883">
        <f>V12+X12+Z12</f>
        <v>909000</v>
      </c>
      <c r="AS12" s="884">
        <f>AP12-AR12</f>
        <v>525200</v>
      </c>
      <c r="AT12" s="882"/>
      <c r="AU12" s="882" t="s">
        <v>788</v>
      </c>
    </row>
    <row r="13" spans="1:47" ht="30" x14ac:dyDescent="0.25">
      <c r="A13" s="754" t="s">
        <v>427</v>
      </c>
      <c r="B13" s="757" t="str">
        <f>[1]előirányzat!B12</f>
        <v>Bük Város Önkrományzata</v>
      </c>
      <c r="C13" s="755">
        <v>3347</v>
      </c>
      <c r="D13" s="878">
        <f>'[2]2009. évi előirányzat'!M13</f>
        <v>0</v>
      </c>
      <c r="E13" s="878">
        <f>'[2]2009. évi előirányzat'!N13</f>
        <v>0</v>
      </c>
      <c r="F13" s="878">
        <f>'[2]2009. évi előirányzat'!O13</f>
        <v>0</v>
      </c>
      <c r="G13" s="878">
        <f>'[2]2010. évi előirányzat'!J13</f>
        <v>0</v>
      </c>
      <c r="H13" s="878">
        <f>'[2]2010. évi előirányzat'!K13</f>
        <v>0</v>
      </c>
      <c r="I13" s="878">
        <f>'[2]2011. évi előirányzat'!J13</f>
        <v>0</v>
      </c>
      <c r="J13" s="878">
        <f>'[2]2011. évi előirányzat'!K13</f>
        <v>0</v>
      </c>
      <c r="K13" s="878">
        <f>'[2]2012. évi előirányzat'!J13</f>
        <v>0</v>
      </c>
      <c r="L13" s="878">
        <f>'[2]2012. évi előirányzat'!K13</f>
        <v>0</v>
      </c>
      <c r="M13" s="878">
        <f>'[2]2013. előirányzat'!J13</f>
        <v>0</v>
      </c>
      <c r="N13" s="878">
        <f>'[2]2013. előirányzat'!K13</f>
        <v>0</v>
      </c>
      <c r="O13" s="878">
        <f>'[2]2014. évi előirányzat'!J13</f>
        <v>0</v>
      </c>
      <c r="P13" s="878">
        <f>'[2]2014. évi előirányzat'!K13</f>
        <v>0</v>
      </c>
      <c r="Q13" s="878">
        <f>'[2]2015. évi előirányzat'!J13</f>
        <v>0</v>
      </c>
      <c r="R13" s="878">
        <f>'[2]2015. évi előirányzat'!K13</f>
        <v>0</v>
      </c>
      <c r="S13" s="878">
        <f>'[2]2016 előirányzat'!J13</f>
        <v>0</v>
      </c>
      <c r="T13" s="878">
        <f>'[2]2016 előirányzat'!K13</f>
        <v>0</v>
      </c>
      <c r="U13" s="878">
        <f>'[2]2017. előirányzat'!J13</f>
        <v>0</v>
      </c>
      <c r="V13" s="878">
        <f>'[2]2017. előirányzat'!K13</f>
        <v>-1673500</v>
      </c>
      <c r="W13" s="878">
        <f>'[2]2018. előirányzat'!J13</f>
        <v>0</v>
      </c>
      <c r="X13" s="878">
        <f>'[2]2018. előirányzat'!K13</f>
        <v>0</v>
      </c>
      <c r="Y13" s="878">
        <f>'[2]2019. előirányzat'!J13</f>
        <v>0</v>
      </c>
      <c r="Z13" s="878">
        <f>'[2]2019. előirányzat'!K13</f>
        <v>0</v>
      </c>
      <c r="AA13" s="878">
        <f>'[2]2020. előirányzat'!G13</f>
        <v>0</v>
      </c>
      <c r="AB13" s="879">
        <f t="shared" si="0"/>
        <v>0</v>
      </c>
      <c r="AC13" s="879">
        <f t="shared" si="1"/>
        <v>-1673500</v>
      </c>
      <c r="AD13" s="879">
        <f t="shared" si="2"/>
        <v>0</v>
      </c>
      <c r="AE13" s="879">
        <f t="shared" si="3"/>
        <v>-1673500</v>
      </c>
      <c r="AF13" s="880">
        <f t="shared" si="4"/>
        <v>0</v>
      </c>
      <c r="AG13" s="880">
        <f>AE13+(334700+1338800)</f>
        <v>0</v>
      </c>
      <c r="AH13" s="880">
        <f t="shared" si="5"/>
        <v>0</v>
      </c>
      <c r="AI13" s="878">
        <f>'[2]2021. előirányzat'!G13</f>
        <v>0</v>
      </c>
      <c r="AJ13" s="878">
        <f>'[2]2022. előirányzat'!G13</f>
        <v>0</v>
      </c>
      <c r="AK13" s="878">
        <f>'[2]2023. előirányzat'!G13</f>
        <v>0</v>
      </c>
      <c r="AL13" s="878">
        <f>'[2]2024. előirányzat'!G13</f>
        <v>0</v>
      </c>
      <c r="AM13" s="881">
        <f t="shared" si="6"/>
        <v>0</v>
      </c>
      <c r="AN13" s="881">
        <f t="shared" si="7"/>
        <v>0</v>
      </c>
      <c r="AO13" s="881">
        <f t="shared" si="8"/>
        <v>0</v>
      </c>
      <c r="AP13" s="881">
        <f t="shared" si="9"/>
        <v>0</v>
      </c>
      <c r="AQ13" s="882"/>
      <c r="AR13" s="883"/>
      <c r="AS13" s="884"/>
      <c r="AT13" s="882"/>
      <c r="AU13" s="882" t="s">
        <v>785</v>
      </c>
    </row>
    <row r="14" spans="1:47" ht="30" x14ac:dyDescent="0.25">
      <c r="A14" s="885" t="s">
        <v>428</v>
      </c>
      <c r="B14" s="757" t="str">
        <f>[1]előirányzat!B13</f>
        <v>Cák Község Önkormányzata</v>
      </c>
      <c r="C14" s="755">
        <v>275</v>
      </c>
      <c r="D14" s="878">
        <f>'[2]2009. évi előirányzat'!M14</f>
        <v>0</v>
      </c>
      <c r="E14" s="878">
        <f>'[2]2009. évi előirányzat'!N14</f>
        <v>0</v>
      </c>
      <c r="F14" s="878">
        <f>'[2]2009. évi előirányzat'!O14</f>
        <v>0</v>
      </c>
      <c r="G14" s="878">
        <f>'[2]2010. évi előirányzat'!J14</f>
        <v>0</v>
      </c>
      <c r="H14" s="878">
        <f>'[2]2010. évi előirányzat'!K14</f>
        <v>0</v>
      </c>
      <c r="I14" s="878">
        <f>'[2]2011. évi előirányzat'!J14</f>
        <v>0</v>
      </c>
      <c r="J14" s="878">
        <f>'[2]2011. évi előirányzat'!K14</f>
        <v>0</v>
      </c>
      <c r="K14" s="878">
        <f>'[2]2012. évi előirányzat'!J14</f>
        <v>0</v>
      </c>
      <c r="L14" s="878">
        <f>'[2]2012. évi előirányzat'!K14</f>
        <v>0</v>
      </c>
      <c r="M14" s="878">
        <f>'[2]2013. előirányzat'!J14</f>
        <v>0</v>
      </c>
      <c r="N14" s="878">
        <f>'[2]2013. előirányzat'!K14</f>
        <v>0</v>
      </c>
      <c r="O14" s="878">
        <f>'[2]2014. évi előirányzat'!J14</f>
        <v>0</v>
      </c>
      <c r="P14" s="878">
        <f>'[2]2014. évi előirányzat'!K14</f>
        <v>0</v>
      </c>
      <c r="Q14" s="878">
        <f>'[2]2015. évi előirányzat'!J14</f>
        <v>0</v>
      </c>
      <c r="R14" s="878">
        <f>'[2]2015. évi előirányzat'!K14</f>
        <v>0</v>
      </c>
      <c r="S14" s="878">
        <f>'[2]2016 előirányzat'!J14</f>
        <v>0</v>
      </c>
      <c r="T14" s="878">
        <f>'[2]2016 előirányzat'!K14</f>
        <v>0</v>
      </c>
      <c r="U14" s="878">
        <f>'[2]2017. előirányzat'!J14</f>
        <v>0</v>
      </c>
      <c r="V14" s="878">
        <f>'[2]2017. előirányzat'!K14</f>
        <v>0</v>
      </c>
      <c r="W14" s="878">
        <f>'[2]2018. előirányzat'!J14</f>
        <v>0</v>
      </c>
      <c r="X14" s="878">
        <f>'[2]2018. előirányzat'!K14</f>
        <v>0</v>
      </c>
      <c r="Y14" s="878">
        <f>'[2]2019. előirányzat'!J14</f>
        <v>0</v>
      </c>
      <c r="Z14" s="878">
        <f>'[2]2019. előirányzat'!K14</f>
        <v>0</v>
      </c>
      <c r="AA14" s="878">
        <f>'[2]2020. előirányzat'!G14</f>
        <v>0</v>
      </c>
      <c r="AB14" s="879">
        <f t="shared" si="0"/>
        <v>0</v>
      </c>
      <c r="AC14" s="879">
        <f t="shared" si="1"/>
        <v>0</v>
      </c>
      <c r="AD14" s="879">
        <f t="shared" si="2"/>
        <v>0</v>
      </c>
      <c r="AE14" s="879">
        <f t="shared" si="3"/>
        <v>0</v>
      </c>
      <c r="AF14" s="880">
        <f t="shared" si="4"/>
        <v>0</v>
      </c>
      <c r="AG14" s="880">
        <f>AE14</f>
        <v>0</v>
      </c>
      <c r="AH14" s="880">
        <f t="shared" si="5"/>
        <v>0</v>
      </c>
      <c r="AI14" s="878">
        <f>'[2]2021. előirányzat'!G14</f>
        <v>0</v>
      </c>
      <c r="AJ14" s="878">
        <f>'[2]2022. előirányzat'!G14</f>
        <v>0</v>
      </c>
      <c r="AK14" s="878">
        <f>'[2]2023. előirányzat'!G14</f>
        <v>0</v>
      </c>
      <c r="AL14" s="878">
        <f>'[2]2024. előirányzat'!G14</f>
        <v>0</v>
      </c>
      <c r="AM14" s="881">
        <f t="shared" si="6"/>
        <v>0</v>
      </c>
      <c r="AN14" s="881">
        <f t="shared" si="7"/>
        <v>0</v>
      </c>
      <c r="AO14" s="881">
        <f t="shared" si="8"/>
        <v>0</v>
      </c>
      <c r="AP14" s="881">
        <f t="shared" si="9"/>
        <v>0</v>
      </c>
      <c r="AQ14" s="882"/>
      <c r="AR14" s="883"/>
      <c r="AS14" s="884"/>
      <c r="AT14" s="882"/>
      <c r="AU14" s="882" t="s">
        <v>784</v>
      </c>
    </row>
    <row r="15" spans="1:47" ht="45" x14ac:dyDescent="0.25">
      <c r="A15" s="885" t="s">
        <v>516</v>
      </c>
      <c r="B15" s="755" t="str">
        <f>[1]előirányzat!B14</f>
        <v>Csákánydoroszló Község Önkormányzata</v>
      </c>
      <c r="C15" s="755">
        <v>1803</v>
      </c>
      <c r="D15" s="878">
        <f>'[2]2009. évi előirányzat'!M15</f>
        <v>0</v>
      </c>
      <c r="E15" s="878">
        <f>'[2]2009. évi előirányzat'!N15</f>
        <v>0</v>
      </c>
      <c r="F15" s="878">
        <f>'[2]2009. évi előirányzat'!O15</f>
        <v>0</v>
      </c>
      <c r="G15" s="878">
        <f>'[2]2010. évi előirányzat'!J15</f>
        <v>0</v>
      </c>
      <c r="H15" s="878">
        <f>'[2]2010. évi előirányzat'!K15</f>
        <v>0</v>
      </c>
      <c r="I15" s="878">
        <f>'[2]2011. évi előirányzat'!J15</f>
        <v>0</v>
      </c>
      <c r="J15" s="878">
        <f>'[2]2011. évi előirányzat'!K15</f>
        <v>0</v>
      </c>
      <c r="K15" s="878">
        <f>'[2]2012. évi előirányzat'!J15</f>
        <v>0</v>
      </c>
      <c r="L15" s="878">
        <f>'[2]2012. évi előirányzat'!K15</f>
        <v>0</v>
      </c>
      <c r="M15" s="878">
        <f>'[2]2013. előirányzat'!J15</f>
        <v>0</v>
      </c>
      <c r="N15" s="878">
        <f>'[2]2013. előirányzat'!K15</f>
        <v>0</v>
      </c>
      <c r="O15" s="878">
        <f>'[2]2014. évi előirányzat'!J15</f>
        <v>0</v>
      </c>
      <c r="P15" s="878">
        <f>'[2]2014. évi előirányzat'!K15</f>
        <v>0</v>
      </c>
      <c r="Q15" s="878">
        <f>'[2]2015. évi előirányzat'!J15</f>
        <v>0</v>
      </c>
      <c r="R15" s="878">
        <f>'[2]2015. évi előirányzat'!K15</f>
        <v>735487</v>
      </c>
      <c r="S15" s="878">
        <f>'[2]2016 előirányzat'!J15</f>
        <v>180300</v>
      </c>
      <c r="T15" s="878">
        <f>'[2]2016 előirányzat'!K15</f>
        <v>901500</v>
      </c>
      <c r="U15" s="878">
        <f>'[2]2017. előirányzat'!J15</f>
        <v>180300</v>
      </c>
      <c r="V15" s="878">
        <f>'[2]2017. előirányzat'!K15</f>
        <v>901500</v>
      </c>
      <c r="W15" s="878">
        <f>'[2]2018. előirányzat'!J15</f>
        <v>180300</v>
      </c>
      <c r="X15" s="878">
        <f>'[2]2018. előirányzat'!K15</f>
        <v>901500</v>
      </c>
      <c r="Y15" s="878">
        <f>'[2]2019. előirányzat'!J15</f>
        <v>180300</v>
      </c>
      <c r="Z15" s="878">
        <f>'[2]2019. előirányzat'!K15</f>
        <v>901500</v>
      </c>
      <c r="AA15" s="878">
        <f>'[2]2020. előirányzat'!G15</f>
        <v>180300</v>
      </c>
      <c r="AB15" s="879">
        <f t="shared" si="0"/>
        <v>901500</v>
      </c>
      <c r="AC15" s="879">
        <f t="shared" si="1"/>
        <v>4341487</v>
      </c>
      <c r="AD15" s="879">
        <f t="shared" si="2"/>
        <v>0</v>
      </c>
      <c r="AE15" s="879">
        <f t="shared" si="3"/>
        <v>5242987</v>
      </c>
      <c r="AF15" s="880">
        <f t="shared" si="4"/>
        <v>901500</v>
      </c>
      <c r="AG15" s="880">
        <f>AC15</f>
        <v>4341487</v>
      </c>
      <c r="AH15" s="880">
        <f t="shared" si="5"/>
        <v>5242987</v>
      </c>
      <c r="AI15" s="878">
        <f>'[2]2021. előirányzat'!G15</f>
        <v>180300</v>
      </c>
      <c r="AJ15" s="878">
        <f>'[2]2022. előirányzat'!G15</f>
        <v>180300</v>
      </c>
      <c r="AK15" s="878">
        <f>'[2]2023. előirányzat'!G15</f>
        <v>180300</v>
      </c>
      <c r="AL15" s="878">
        <f>'[2]2024. előirányzat'!G15</f>
        <v>0</v>
      </c>
      <c r="AM15" s="881">
        <f t="shared" si="6"/>
        <v>1442400</v>
      </c>
      <c r="AN15" s="881">
        <f t="shared" si="7"/>
        <v>4341487</v>
      </c>
      <c r="AO15" s="881">
        <f t="shared" si="8"/>
        <v>0</v>
      </c>
      <c r="AP15" s="881">
        <f t="shared" si="9"/>
        <v>5783887</v>
      </c>
      <c r="AQ15" s="882"/>
      <c r="AR15" s="883">
        <f>V15+X15+Z15</f>
        <v>2704500</v>
      </c>
      <c r="AS15" s="884">
        <f>AP15-AR15</f>
        <v>3079387</v>
      </c>
      <c r="AT15" s="882"/>
      <c r="AU15" s="882" t="s">
        <v>786</v>
      </c>
    </row>
    <row r="16" spans="1:47" ht="30" x14ac:dyDescent="0.25">
      <c r="A16" s="597" t="s">
        <v>429</v>
      </c>
      <c r="B16" s="758" t="str">
        <f>[1]előirányzat!B15</f>
        <v>Csánig Község Önkormányzata</v>
      </c>
      <c r="C16" s="597"/>
      <c r="D16" s="597">
        <f>'[2]2009. évi előirányzat'!M16</f>
        <v>0</v>
      </c>
      <c r="E16" s="597">
        <f>'[2]2009. évi előirányzat'!N16</f>
        <v>0</v>
      </c>
      <c r="F16" s="597">
        <f>'[2]2009. évi előirányzat'!O16</f>
        <v>0</v>
      </c>
      <c r="G16" s="597">
        <f>'[2]2010. évi előirányzat'!J16</f>
        <v>0</v>
      </c>
      <c r="H16" s="597">
        <f>'[2]2010. évi előirányzat'!K16</f>
        <v>0</v>
      </c>
      <c r="I16" s="597">
        <f>'[2]2011. évi előirányzat'!J16</f>
        <v>0</v>
      </c>
      <c r="J16" s="597">
        <f>'[2]2011. évi előirányzat'!K16</f>
        <v>0</v>
      </c>
      <c r="K16" s="597">
        <f>'[2]2012. évi előirányzat'!J16</f>
        <v>0</v>
      </c>
      <c r="L16" s="597">
        <f>'[2]2012. évi előirányzat'!K16</f>
        <v>0</v>
      </c>
      <c r="M16" s="597">
        <f>'[2]2013. előirányzat'!J16</f>
        <v>0</v>
      </c>
      <c r="N16" s="597">
        <f>'[2]2013. előirányzat'!K16</f>
        <v>0</v>
      </c>
      <c r="O16" s="597">
        <f>'[2]2014. évi előirányzat'!J16</f>
        <v>0</v>
      </c>
      <c r="P16" s="597">
        <f>'[2]2014. évi előirányzat'!K16</f>
        <v>0</v>
      </c>
      <c r="Q16" s="597">
        <f>'[2]2015. évi előirányzat'!J16</f>
        <v>0</v>
      </c>
      <c r="R16" s="597">
        <f>'[2]2015. évi előirányzat'!K16</f>
        <v>0</v>
      </c>
      <c r="S16" s="597">
        <f>'[2]2016 előirányzat'!J16</f>
        <v>0</v>
      </c>
      <c r="T16" s="597">
        <f>'[2]2016 előirányzat'!K16</f>
        <v>0</v>
      </c>
      <c r="U16" s="597">
        <f>'[2]2017. előirányzat'!J16</f>
        <v>0</v>
      </c>
      <c r="V16" s="597">
        <f>'[2]2017. előirányzat'!K16</f>
        <v>0</v>
      </c>
      <c r="W16" s="597">
        <f>'[2]2018. előirányzat'!J16</f>
        <v>0</v>
      </c>
      <c r="X16" s="597">
        <f>'[2]2018. előirányzat'!K16</f>
        <v>0</v>
      </c>
      <c r="Y16" s="597">
        <f>'[2]2019. előirányzat'!J16</f>
        <v>0</v>
      </c>
      <c r="Z16" s="597">
        <f>'[2]2019. előirányzat'!K16</f>
        <v>0</v>
      </c>
      <c r="AA16" s="597">
        <f>'[2]2020. előirányzat'!G16</f>
        <v>0</v>
      </c>
      <c r="AB16" s="597">
        <f t="shared" si="0"/>
        <v>0</v>
      </c>
      <c r="AC16" s="597">
        <f t="shared" si="1"/>
        <v>0</v>
      </c>
      <c r="AD16" s="597">
        <f t="shared" si="2"/>
        <v>0</v>
      </c>
      <c r="AE16" s="597">
        <f t="shared" si="3"/>
        <v>0</v>
      </c>
      <c r="AF16" s="597"/>
      <c r="AG16" s="597"/>
      <c r="AH16" s="886">
        <f t="shared" si="5"/>
        <v>0</v>
      </c>
      <c r="AI16" s="887">
        <f>'[2]2021. előirányzat'!G16</f>
        <v>0</v>
      </c>
      <c r="AJ16" s="887">
        <f>'[2]2022. előirányzat'!G16</f>
        <v>0</v>
      </c>
      <c r="AK16" s="887">
        <f>'[2]2023. előirányzat'!G16</f>
        <v>0</v>
      </c>
      <c r="AL16" s="887">
        <f>'[2]2024. előirányzat'!G16</f>
        <v>0</v>
      </c>
      <c r="AM16" s="887">
        <f t="shared" si="6"/>
        <v>0</v>
      </c>
      <c r="AN16" s="886">
        <f t="shared" si="7"/>
        <v>0</v>
      </c>
      <c r="AO16" s="886">
        <f t="shared" si="8"/>
        <v>0</v>
      </c>
      <c r="AP16" s="886">
        <f t="shared" si="9"/>
        <v>0</v>
      </c>
      <c r="AQ16" s="882"/>
      <c r="AR16" s="883"/>
      <c r="AS16" s="884"/>
      <c r="AT16" s="882"/>
      <c r="AU16" s="882"/>
    </row>
    <row r="17" spans="1:49" ht="45" x14ac:dyDescent="0.25">
      <c r="A17" s="885" t="s">
        <v>430</v>
      </c>
      <c r="B17" s="757" t="str">
        <f>[1]előirányzat!B16</f>
        <v>Csehimindszent Község Önkormányzata</v>
      </c>
      <c r="C17" s="755">
        <v>388</v>
      </c>
      <c r="D17" s="878">
        <f>'[2]2009. évi előirányzat'!M17</f>
        <v>0</v>
      </c>
      <c r="E17" s="878">
        <f>'[2]2009. évi előirányzat'!N17</f>
        <v>0</v>
      </c>
      <c r="F17" s="878">
        <f>'[2]2009. évi előirányzat'!O17</f>
        <v>0</v>
      </c>
      <c r="G17" s="878">
        <f>'[2]2010. évi előirányzat'!J17</f>
        <v>0</v>
      </c>
      <c r="H17" s="878">
        <f>'[2]2010. évi előirányzat'!K17</f>
        <v>0</v>
      </c>
      <c r="I17" s="878">
        <f>'[2]2011. évi előirányzat'!J17</f>
        <v>0</v>
      </c>
      <c r="J17" s="878">
        <f>'[2]2011. évi előirányzat'!K17</f>
        <v>0</v>
      </c>
      <c r="K17" s="878">
        <f>'[2]2012. évi előirányzat'!J17</f>
        <v>0</v>
      </c>
      <c r="L17" s="878">
        <f>'[2]2012. évi előirányzat'!K17</f>
        <v>0</v>
      </c>
      <c r="M17" s="878">
        <f>'[2]2013. előirányzat'!J17</f>
        <v>0</v>
      </c>
      <c r="N17" s="878">
        <f>'[2]2013. előirányzat'!K17</f>
        <v>0</v>
      </c>
      <c r="O17" s="878">
        <f>'[2]2014. évi előirányzat'!J17</f>
        <v>0</v>
      </c>
      <c r="P17" s="878">
        <f>'[2]2014. évi előirányzat'!K17</f>
        <v>0</v>
      </c>
      <c r="Q17" s="878">
        <f>'[2]2015. évi előirányzat'!J17</f>
        <v>0</v>
      </c>
      <c r="R17" s="878">
        <f>'[2]2015. évi előirányzat'!K17</f>
        <v>0</v>
      </c>
      <c r="S17" s="878">
        <f>'[2]2016 előirányzat'!J17</f>
        <v>0</v>
      </c>
      <c r="T17" s="878">
        <f>'[2]2016 előirányzat'!K17</f>
        <v>0</v>
      </c>
      <c r="U17" s="878">
        <f>'[2]2017. előirányzat'!J17</f>
        <v>0</v>
      </c>
      <c r="V17" s="878">
        <f>'[2]2017. előirányzat'!K17</f>
        <v>-194000</v>
      </c>
      <c r="W17" s="878">
        <f>'[2]2018. előirányzat'!J17</f>
        <v>0</v>
      </c>
      <c r="X17" s="878">
        <f>'[2]2018. előirányzat'!K17</f>
        <v>-194000</v>
      </c>
      <c r="Y17" s="878">
        <f>'[2]2019. előirányzat'!J17</f>
        <v>0</v>
      </c>
      <c r="Z17" s="878">
        <f>'[2]2019. előirányzat'!K17</f>
        <v>0</v>
      </c>
      <c r="AA17" s="878">
        <f>'[2]2020. előirányzat'!G17</f>
        <v>0</v>
      </c>
      <c r="AB17" s="879">
        <f t="shared" si="0"/>
        <v>0</v>
      </c>
      <c r="AC17" s="879">
        <f t="shared" si="1"/>
        <v>-388000</v>
      </c>
      <c r="AD17" s="879">
        <f t="shared" si="2"/>
        <v>0</v>
      </c>
      <c r="AE17" s="879">
        <f t="shared" si="3"/>
        <v>-388000</v>
      </c>
      <c r="AF17" s="880">
        <f t="shared" si="4"/>
        <v>0</v>
      </c>
      <c r="AG17" s="880">
        <f>AE17+(2*38800)+310400</f>
        <v>0</v>
      </c>
      <c r="AH17" s="880">
        <f t="shared" si="5"/>
        <v>0</v>
      </c>
      <c r="AI17" s="878">
        <f>'[2]2021. előirányzat'!G17</f>
        <v>0</v>
      </c>
      <c r="AJ17" s="878">
        <f>'[2]2022. előirányzat'!G17</f>
        <v>0</v>
      </c>
      <c r="AK17" s="878">
        <f>'[2]2023. előirányzat'!G17</f>
        <v>0</v>
      </c>
      <c r="AL17" s="878">
        <f>'[2]2024. előirányzat'!G17</f>
        <v>0</v>
      </c>
      <c r="AM17" s="881">
        <f t="shared" si="6"/>
        <v>0</v>
      </c>
      <c r="AN17" s="881">
        <f t="shared" si="7"/>
        <v>0</v>
      </c>
      <c r="AO17" s="881">
        <f t="shared" si="8"/>
        <v>0</v>
      </c>
      <c r="AP17" s="881">
        <f t="shared" si="9"/>
        <v>0</v>
      </c>
      <c r="AQ17" s="882"/>
      <c r="AR17" s="883"/>
      <c r="AS17" s="884"/>
      <c r="AT17" s="882"/>
      <c r="AU17" s="882" t="s">
        <v>780</v>
      </c>
    </row>
    <row r="18" spans="1:49" ht="45" x14ac:dyDescent="0.25">
      <c r="A18" s="885" t="s">
        <v>431</v>
      </c>
      <c r="B18" s="755" t="str">
        <f>[1]előirányzat!B17</f>
        <v>Csempeszkopács Község Önkormányzata</v>
      </c>
      <c r="C18" s="755">
        <v>323</v>
      </c>
      <c r="D18" s="878">
        <f>'[2]2009. évi előirányzat'!M18</f>
        <v>0</v>
      </c>
      <c r="E18" s="878">
        <f>'[2]2009. évi előirányzat'!N18</f>
        <v>0</v>
      </c>
      <c r="F18" s="878">
        <f>'[2]2009. évi előirányzat'!O18</f>
        <v>0</v>
      </c>
      <c r="G18" s="878">
        <f>'[2]2010. évi előirányzat'!J18</f>
        <v>0</v>
      </c>
      <c r="H18" s="878">
        <f>'[2]2010. évi előirányzat'!K18</f>
        <v>0</v>
      </c>
      <c r="I18" s="878">
        <f>'[2]2011. évi előirányzat'!J18</f>
        <v>0</v>
      </c>
      <c r="J18" s="878">
        <f>'[2]2011. évi előirányzat'!K18</f>
        <v>0</v>
      </c>
      <c r="K18" s="878">
        <f>'[2]2012. évi előirányzat'!J18</f>
        <v>0</v>
      </c>
      <c r="L18" s="878">
        <f>'[2]2012. évi előirányzat'!K18</f>
        <v>0</v>
      </c>
      <c r="M18" s="878">
        <f>'[2]2013. előirányzat'!J18</f>
        <v>0</v>
      </c>
      <c r="N18" s="878">
        <f>'[2]2013. előirányzat'!K18</f>
        <v>0</v>
      </c>
      <c r="O18" s="878">
        <f>'[2]2014. évi előirányzat'!J18</f>
        <v>0</v>
      </c>
      <c r="P18" s="878">
        <f>'[2]2014. évi előirányzat'!K18</f>
        <v>0</v>
      </c>
      <c r="Q18" s="878">
        <f>'[2]2015. évi előirányzat'!J18</f>
        <v>0</v>
      </c>
      <c r="R18" s="878">
        <f>'[2]2015. évi előirányzat'!K18</f>
        <v>0</v>
      </c>
      <c r="S18" s="878">
        <f>'[2]2016 előirányzat'!J18</f>
        <v>0</v>
      </c>
      <c r="T18" s="878">
        <f>'[2]2016 előirányzat'!K18</f>
        <v>0</v>
      </c>
      <c r="U18" s="878">
        <f>'[2]2017. előirányzat'!J18</f>
        <v>0</v>
      </c>
      <c r="V18" s="878">
        <f>'[2]2017. előirányzat'!K18</f>
        <v>-39511</v>
      </c>
      <c r="W18" s="878">
        <f>'[2]2018. előirányzat'!J18</f>
        <v>0</v>
      </c>
      <c r="X18" s="878">
        <f>'[2]2018. előirányzat'!K18</f>
        <v>0</v>
      </c>
      <c r="Y18" s="878">
        <f>'[2]2019. előirányzat'!J18</f>
        <v>0</v>
      </c>
      <c r="Z18" s="878">
        <f>'[2]2019. előirányzat'!K18</f>
        <v>0</v>
      </c>
      <c r="AA18" s="878">
        <f>'[2]2020. előirányzat'!G18</f>
        <v>0</v>
      </c>
      <c r="AB18" s="879">
        <f t="shared" si="0"/>
        <v>0</v>
      </c>
      <c r="AC18" s="879">
        <f t="shared" si="1"/>
        <v>-39511</v>
      </c>
      <c r="AD18" s="879">
        <f t="shared" si="2"/>
        <v>0</v>
      </c>
      <c r="AE18" s="879">
        <f t="shared" si="3"/>
        <v>-39511</v>
      </c>
      <c r="AF18" s="880">
        <f t="shared" si="4"/>
        <v>0</v>
      </c>
      <c r="AG18" s="880">
        <f>AC18</f>
        <v>-39511</v>
      </c>
      <c r="AH18" s="880">
        <f t="shared" si="5"/>
        <v>-39511</v>
      </c>
      <c r="AI18" s="878">
        <f>'[2]2021. előirányzat'!G18</f>
        <v>0</v>
      </c>
      <c r="AJ18" s="878">
        <f>'[2]2022. előirányzat'!G18</f>
        <v>0</v>
      </c>
      <c r="AK18" s="878">
        <f>'[2]2023. előirányzat'!G18</f>
        <v>0</v>
      </c>
      <c r="AL18" s="878">
        <f>'[2]2024. előirányzat'!G18</f>
        <v>0</v>
      </c>
      <c r="AM18" s="881">
        <f t="shared" si="6"/>
        <v>0</v>
      </c>
      <c r="AN18" s="881">
        <f t="shared" si="7"/>
        <v>-39511</v>
      </c>
      <c r="AO18" s="881">
        <f t="shared" si="8"/>
        <v>0</v>
      </c>
      <c r="AP18" s="881">
        <f t="shared" si="9"/>
        <v>-39511</v>
      </c>
      <c r="AQ18" s="882"/>
      <c r="AR18" s="883">
        <f>V18+X18+Z18</f>
        <v>-39511</v>
      </c>
      <c r="AS18" s="884">
        <f>AP18-AR18</f>
        <v>0</v>
      </c>
      <c r="AT18" s="882"/>
      <c r="AU18" s="882" t="s">
        <v>788</v>
      </c>
      <c r="AV18" s="403">
        <f>AS18-39511</f>
        <v>-39511</v>
      </c>
      <c r="AW18">
        <f>3*32300</f>
        <v>96900</v>
      </c>
    </row>
    <row r="19" spans="1:49" ht="30" x14ac:dyDescent="0.25">
      <c r="A19" s="754" t="s">
        <v>432</v>
      </c>
      <c r="B19" s="757" t="str">
        <f>[1]előirányzat!B18</f>
        <v>Csipkerek Község Önkormányzata</v>
      </c>
      <c r="C19" s="755">
        <v>377</v>
      </c>
      <c r="D19" s="878">
        <f>'[2]2009. évi előirányzat'!M19</f>
        <v>0</v>
      </c>
      <c r="E19" s="878">
        <f>'[2]2009. évi előirányzat'!N19</f>
        <v>0</v>
      </c>
      <c r="F19" s="878">
        <f>'[2]2009. évi előirányzat'!O19</f>
        <v>0</v>
      </c>
      <c r="G19" s="878">
        <f>'[2]2010. évi előirányzat'!J19</f>
        <v>0</v>
      </c>
      <c r="H19" s="878">
        <f>'[2]2010. évi előirányzat'!K19</f>
        <v>0</v>
      </c>
      <c r="I19" s="878">
        <f>'[2]2011. évi előirányzat'!J19</f>
        <v>0</v>
      </c>
      <c r="J19" s="878">
        <f>'[2]2011. évi előirányzat'!K19</f>
        <v>0</v>
      </c>
      <c r="K19" s="878">
        <f>'[2]2012. évi előirányzat'!J19</f>
        <v>0</v>
      </c>
      <c r="L19" s="878">
        <f>'[2]2012. évi előirányzat'!K19</f>
        <v>0</v>
      </c>
      <c r="M19" s="878">
        <f>'[2]2013. előirányzat'!J19</f>
        <v>0</v>
      </c>
      <c r="N19" s="878">
        <f>'[2]2013. előirányzat'!K19</f>
        <v>0</v>
      </c>
      <c r="O19" s="878">
        <f>'[2]2014. évi előirányzat'!J19</f>
        <v>0</v>
      </c>
      <c r="P19" s="878">
        <f>'[2]2014. évi előirányzat'!K19</f>
        <v>0</v>
      </c>
      <c r="Q19" s="878">
        <f>'[2]2015. évi előirányzat'!J19</f>
        <v>0</v>
      </c>
      <c r="R19" s="878">
        <f>'[2]2015. évi előirányzat'!K19</f>
        <v>0</v>
      </c>
      <c r="S19" s="878">
        <f>'[2]2016 előirányzat'!J19</f>
        <v>0</v>
      </c>
      <c r="T19" s="878">
        <f>'[2]2016 előirányzat'!K19</f>
        <v>0</v>
      </c>
      <c r="U19" s="878">
        <f>'[2]2017. előirányzat'!J19</f>
        <v>0</v>
      </c>
      <c r="V19" s="878">
        <f>'[2]2017. előirányzat'!K19</f>
        <v>-188500</v>
      </c>
      <c r="W19" s="878">
        <f>'[2]2018. előirányzat'!J19</f>
        <v>0</v>
      </c>
      <c r="X19" s="878">
        <f>'[2]2018. előirányzat'!K19</f>
        <v>0</v>
      </c>
      <c r="Y19" s="878">
        <f>'[2]2019. előirányzat'!J19</f>
        <v>0</v>
      </c>
      <c r="Z19" s="878">
        <f>'[2]2019. előirányzat'!K19</f>
        <v>0</v>
      </c>
      <c r="AA19" s="878">
        <f>'[2]2020. előirányzat'!G19</f>
        <v>0</v>
      </c>
      <c r="AB19" s="879">
        <f t="shared" si="0"/>
        <v>0</v>
      </c>
      <c r="AC19" s="879">
        <f t="shared" si="1"/>
        <v>-188500</v>
      </c>
      <c r="AD19" s="879">
        <f t="shared" si="2"/>
        <v>0</v>
      </c>
      <c r="AE19" s="879">
        <f t="shared" si="3"/>
        <v>-188500</v>
      </c>
      <c r="AF19" s="880">
        <f t="shared" si="4"/>
        <v>0</v>
      </c>
      <c r="AG19" s="880">
        <f>AE19+(3*37700)+75400</f>
        <v>0</v>
      </c>
      <c r="AH19" s="880">
        <f t="shared" si="5"/>
        <v>0</v>
      </c>
      <c r="AI19" s="878">
        <f>'[2]2021. előirányzat'!G19</f>
        <v>0</v>
      </c>
      <c r="AJ19" s="878">
        <f>'[2]2022. előirányzat'!G19</f>
        <v>0</v>
      </c>
      <c r="AK19" s="878">
        <f>'[2]2023. előirányzat'!G19</f>
        <v>0</v>
      </c>
      <c r="AL19" s="878">
        <f>'[2]2024. előirányzat'!G19</f>
        <v>0</v>
      </c>
      <c r="AM19" s="881">
        <f t="shared" si="6"/>
        <v>0</v>
      </c>
      <c r="AN19" s="881">
        <f t="shared" si="7"/>
        <v>0</v>
      </c>
      <c r="AO19" s="881">
        <f t="shared" si="8"/>
        <v>0</v>
      </c>
      <c r="AP19" s="881">
        <f t="shared" si="9"/>
        <v>0</v>
      </c>
      <c r="AQ19" s="882"/>
      <c r="AR19" s="883"/>
      <c r="AS19" s="884"/>
      <c r="AT19" s="882"/>
      <c r="AU19" s="882" t="s">
        <v>780</v>
      </c>
    </row>
    <row r="20" spans="1:49" ht="30" x14ac:dyDescent="0.25">
      <c r="A20" s="885" t="s">
        <v>433</v>
      </c>
      <c r="B20" s="755" t="str">
        <f>[1]előirányzat!B19</f>
        <v>Csörötnek Község Önkormányzata</v>
      </c>
      <c r="C20" s="755">
        <v>871</v>
      </c>
      <c r="D20" s="878">
        <f>'[2]2009. évi előirányzat'!M20</f>
        <v>0</v>
      </c>
      <c r="E20" s="878">
        <f>'[2]2009. évi előirányzat'!N20</f>
        <v>0</v>
      </c>
      <c r="F20" s="878">
        <f>'[2]2009. évi előirányzat'!O20</f>
        <v>0</v>
      </c>
      <c r="G20" s="878">
        <f>'[2]2010. évi előirányzat'!J20</f>
        <v>0</v>
      </c>
      <c r="H20" s="878">
        <f>'[2]2010. évi előirányzat'!K20</f>
        <v>0</v>
      </c>
      <c r="I20" s="878">
        <f>'[2]2011. évi előirányzat'!J20</f>
        <v>0</v>
      </c>
      <c r="J20" s="878">
        <f>'[2]2011. évi előirányzat'!K20</f>
        <v>0</v>
      </c>
      <c r="K20" s="878">
        <f>'[2]2012. évi előirányzat'!J20</f>
        <v>0</v>
      </c>
      <c r="L20" s="878">
        <f>'[2]2012. évi előirányzat'!K20</f>
        <v>0</v>
      </c>
      <c r="M20" s="878">
        <f>'[2]2013. előirányzat'!J20</f>
        <v>0</v>
      </c>
      <c r="N20" s="878">
        <f>'[2]2013. előirányzat'!K20</f>
        <v>0</v>
      </c>
      <c r="O20" s="878">
        <f>'[2]2014. évi előirányzat'!J20</f>
        <v>0</v>
      </c>
      <c r="P20" s="878">
        <f>'[2]2014. évi előirányzat'!K20</f>
        <v>0</v>
      </c>
      <c r="Q20" s="878">
        <f>'[2]2015. évi előirányzat'!J20</f>
        <v>0</v>
      </c>
      <c r="R20" s="878">
        <f>'[2]2015. évi előirányzat'!K20</f>
        <v>0</v>
      </c>
      <c r="S20" s="878">
        <f>'[2]2016 előirányzat'!J20</f>
        <v>0</v>
      </c>
      <c r="T20" s="878">
        <f>'[2]2016 előirányzat'!K20</f>
        <v>145167</v>
      </c>
      <c r="U20" s="878">
        <f>'[2]2017. előirányzat'!J20</f>
        <v>87100.000000000015</v>
      </c>
      <c r="V20" s="878">
        <f>'[2]2017. előirányzat'!K20</f>
        <v>435500</v>
      </c>
      <c r="W20" s="878">
        <f>'[2]2018. előirányzat'!J20</f>
        <v>87100.000000000015</v>
      </c>
      <c r="X20" s="878">
        <f>'[2]2018. előirányzat'!K20</f>
        <v>435500</v>
      </c>
      <c r="Y20" s="878">
        <f>'[2]2019. előirányzat'!J20</f>
        <v>87100.000000000015</v>
      </c>
      <c r="Z20" s="878">
        <f>'[2]2019. előirányzat'!K20</f>
        <v>435500</v>
      </c>
      <c r="AA20" s="878">
        <f>'[2]2020. előirányzat'!G20</f>
        <v>87100.000000000015</v>
      </c>
      <c r="AB20" s="879">
        <f t="shared" si="0"/>
        <v>348400.00000000006</v>
      </c>
      <c r="AC20" s="879">
        <f t="shared" si="1"/>
        <v>1451667</v>
      </c>
      <c r="AD20" s="879">
        <f t="shared" si="2"/>
        <v>0</v>
      </c>
      <c r="AE20" s="879">
        <f t="shared" si="3"/>
        <v>1800067</v>
      </c>
      <c r="AF20" s="880">
        <f t="shared" si="4"/>
        <v>348400.00000000006</v>
      </c>
      <c r="AG20" s="880">
        <f>AC20</f>
        <v>1451667</v>
      </c>
      <c r="AH20" s="880">
        <f t="shared" si="5"/>
        <v>1800067</v>
      </c>
      <c r="AI20" s="878">
        <f>'[2]2021. előirányzat'!G20</f>
        <v>87100.000000000015</v>
      </c>
      <c r="AJ20" s="878">
        <f>'[2]2022. előirányzat'!G20</f>
        <v>87100.000000000015</v>
      </c>
      <c r="AK20" s="878">
        <f>'[2]2023. előirányzat'!G20</f>
        <v>87100.000000000015</v>
      </c>
      <c r="AL20" s="878">
        <f>'[2]2024. előirányzat'!G20</f>
        <v>0</v>
      </c>
      <c r="AM20" s="881">
        <f t="shared" si="6"/>
        <v>609700.00000000012</v>
      </c>
      <c r="AN20" s="881">
        <f t="shared" si="7"/>
        <v>1451667</v>
      </c>
      <c r="AO20" s="881">
        <f t="shared" si="8"/>
        <v>0</v>
      </c>
      <c r="AP20" s="881">
        <f t="shared" si="9"/>
        <v>2061367</v>
      </c>
      <c r="AQ20" s="882"/>
      <c r="AR20" s="883">
        <f>V20+X20+Z20</f>
        <v>1306500</v>
      </c>
      <c r="AS20" s="884">
        <f>AP20-AR20</f>
        <v>754867</v>
      </c>
      <c r="AT20" s="882"/>
      <c r="AU20" s="882" t="s">
        <v>787</v>
      </c>
    </row>
    <row r="21" spans="1:49" ht="30" x14ac:dyDescent="0.25">
      <c r="A21" s="885" t="s">
        <v>434</v>
      </c>
      <c r="B21" s="757" t="str">
        <f>[1]előirányzat!B20</f>
        <v>Daraboshegy Község Önkormányzata</v>
      </c>
      <c r="C21" s="755">
        <v>92</v>
      </c>
      <c r="D21" s="878">
        <f>'[2]2009. évi előirányzat'!M21</f>
        <v>0</v>
      </c>
      <c r="E21" s="878">
        <f>'[2]2009. évi előirányzat'!N21</f>
        <v>0</v>
      </c>
      <c r="F21" s="878">
        <f>'[2]2009. évi előirányzat'!O21</f>
        <v>0</v>
      </c>
      <c r="G21" s="878">
        <f>'[2]2010. évi előirányzat'!J21</f>
        <v>0</v>
      </c>
      <c r="H21" s="878">
        <f>'[2]2010. évi előirányzat'!K21</f>
        <v>0</v>
      </c>
      <c r="I21" s="878">
        <f>'[2]2011. évi előirányzat'!J21</f>
        <v>0</v>
      </c>
      <c r="J21" s="878">
        <f>'[2]2011. évi előirányzat'!K21</f>
        <v>0</v>
      </c>
      <c r="K21" s="878">
        <f>'[2]2012. évi előirányzat'!J21</f>
        <v>0</v>
      </c>
      <c r="L21" s="878">
        <f>'[2]2012. évi előirányzat'!K21</f>
        <v>0</v>
      </c>
      <c r="M21" s="878">
        <f>'[2]2013. előirányzat'!J21</f>
        <v>0</v>
      </c>
      <c r="N21" s="878">
        <f>'[2]2013. előirányzat'!K21</f>
        <v>0</v>
      </c>
      <c r="O21" s="878">
        <f>'[2]2014. évi előirányzat'!J21</f>
        <v>0</v>
      </c>
      <c r="P21" s="878">
        <f>'[2]2014. évi előirányzat'!K21</f>
        <v>0</v>
      </c>
      <c r="Q21" s="878">
        <f>'[2]2015. évi előirányzat'!J21</f>
        <v>0</v>
      </c>
      <c r="R21" s="878">
        <f>'[2]2015. évi előirányzat'!K21</f>
        <v>0</v>
      </c>
      <c r="S21" s="878">
        <f>'[2]2016 előirányzat'!J21</f>
        <v>0</v>
      </c>
      <c r="T21" s="878">
        <f>'[2]2016 előirányzat'!K21</f>
        <v>0</v>
      </c>
      <c r="U21" s="878">
        <f>'[2]2017. előirányzat'!J21</f>
        <v>0</v>
      </c>
      <c r="V21" s="878">
        <f>'[2]2017. előirányzat'!K21</f>
        <v>-46000</v>
      </c>
      <c r="W21" s="878">
        <f>'[2]2018. előirányzat'!J21</f>
        <v>0</v>
      </c>
      <c r="X21" s="878">
        <f>'[2]2018. előirányzat'!K21</f>
        <v>0</v>
      </c>
      <c r="Y21" s="878">
        <f>'[2]2019. előirányzat'!J21</f>
        <v>0</v>
      </c>
      <c r="Z21" s="878">
        <f>'[2]2019. előirányzat'!K21</f>
        <v>0</v>
      </c>
      <c r="AA21" s="878">
        <f>'[2]2020. előirányzat'!G21</f>
        <v>0</v>
      </c>
      <c r="AB21" s="879">
        <f t="shared" si="0"/>
        <v>0</v>
      </c>
      <c r="AC21" s="879">
        <f t="shared" si="1"/>
        <v>-46000</v>
      </c>
      <c r="AD21" s="879">
        <f t="shared" si="2"/>
        <v>0</v>
      </c>
      <c r="AE21" s="879">
        <f t="shared" si="3"/>
        <v>-46000</v>
      </c>
      <c r="AF21" s="880">
        <f t="shared" si="4"/>
        <v>0</v>
      </c>
      <c r="AG21" s="880">
        <f>AE21+(2*9200)+27600</f>
        <v>0</v>
      </c>
      <c r="AH21" s="880">
        <f t="shared" si="5"/>
        <v>0</v>
      </c>
      <c r="AI21" s="878">
        <f>'[2]2021. előirányzat'!G21</f>
        <v>0</v>
      </c>
      <c r="AJ21" s="878">
        <f>'[2]2022. előirányzat'!G21</f>
        <v>0</v>
      </c>
      <c r="AK21" s="878">
        <f>'[2]2023. előirányzat'!G21</f>
        <v>0</v>
      </c>
      <c r="AL21" s="878">
        <f>'[2]2024. előirányzat'!G21</f>
        <v>0</v>
      </c>
      <c r="AM21" s="881">
        <f t="shared" si="6"/>
        <v>0</v>
      </c>
      <c r="AN21" s="881">
        <f t="shared" si="7"/>
        <v>0</v>
      </c>
      <c r="AO21" s="881">
        <f t="shared" si="8"/>
        <v>0</v>
      </c>
      <c r="AP21" s="881">
        <f t="shared" si="9"/>
        <v>0</v>
      </c>
      <c r="AQ21" s="882"/>
      <c r="AR21" s="883"/>
      <c r="AS21" s="884"/>
      <c r="AT21" s="882"/>
      <c r="AU21" s="882" t="s">
        <v>786</v>
      </c>
    </row>
    <row r="22" spans="1:49" x14ac:dyDescent="0.25">
      <c r="A22" s="754" t="s">
        <v>435</v>
      </c>
      <c r="B22" s="755" t="str">
        <f>[1]előirányzat!B21</f>
        <v xml:space="preserve">Dozmat </v>
      </c>
      <c r="C22" s="755">
        <v>222</v>
      </c>
      <c r="D22" s="878">
        <f>'[2]2009. évi előirányzat'!M22</f>
        <v>0</v>
      </c>
      <c r="E22" s="878">
        <f>'[2]2009. évi előirányzat'!N22</f>
        <v>0</v>
      </c>
      <c r="F22" s="878">
        <f>'[2]2009. évi előirányzat'!O22</f>
        <v>0</v>
      </c>
      <c r="G22" s="878">
        <f>'[2]2010. évi előirányzat'!J22</f>
        <v>0</v>
      </c>
      <c r="H22" s="878">
        <f>'[2]2010. évi előirányzat'!K22</f>
        <v>0</v>
      </c>
      <c r="I22" s="878">
        <f>'[2]2011. évi előirányzat'!J22</f>
        <v>0</v>
      </c>
      <c r="J22" s="878">
        <f>'[2]2011. évi előirányzat'!K22</f>
        <v>0</v>
      </c>
      <c r="K22" s="878">
        <f>'[2]2012. évi előirányzat'!J22</f>
        <v>0</v>
      </c>
      <c r="L22" s="878">
        <f>'[2]2012. évi előirányzat'!K22</f>
        <v>0</v>
      </c>
      <c r="M22" s="878">
        <f>'[2]2013. előirányzat'!J22</f>
        <v>0</v>
      </c>
      <c r="N22" s="878">
        <f>'[2]2013. előirányzat'!K22</f>
        <v>0</v>
      </c>
      <c r="O22" s="878">
        <f>'[2]2014. évi előirányzat'!J22</f>
        <v>0</v>
      </c>
      <c r="P22" s="878">
        <f>'[2]2014. évi előirányzat'!K22</f>
        <v>26640</v>
      </c>
      <c r="Q22" s="878">
        <f>'[2]2015. évi előirányzat'!J22</f>
        <v>0</v>
      </c>
      <c r="R22" s="878">
        <f>'[2]2015. évi előirányzat'!K22</f>
        <v>111000</v>
      </c>
      <c r="S22" s="878">
        <f>'[2]2016 előirányzat'!J22</f>
        <v>0</v>
      </c>
      <c r="T22" s="878">
        <f>'[2]2016 előirányzat'!K22</f>
        <v>111000</v>
      </c>
      <c r="U22" s="878">
        <f>'[2]2017. előirányzat'!J22</f>
        <v>0</v>
      </c>
      <c r="V22" s="878">
        <f>'[2]2017. előirányzat'!K22</f>
        <v>111000</v>
      </c>
      <c r="W22" s="878">
        <f>'[2]2018. előirányzat'!J22</f>
        <v>0</v>
      </c>
      <c r="X22" s="878">
        <f>'[2]2018. előirányzat'!K22</f>
        <v>111000</v>
      </c>
      <c r="Y22" s="878">
        <f>'[2]2019. előirányzat'!J22</f>
        <v>0</v>
      </c>
      <c r="Z22" s="878">
        <f>'[2]2019. előirányzat'!K22</f>
        <v>111000</v>
      </c>
      <c r="AA22" s="878">
        <f>'[2]2020. előirányzat'!G22</f>
        <v>22200.000000000004</v>
      </c>
      <c r="AB22" s="879">
        <f t="shared" si="0"/>
        <v>22200.000000000004</v>
      </c>
      <c r="AC22" s="879">
        <f t="shared" si="1"/>
        <v>581640</v>
      </c>
      <c r="AD22" s="879">
        <f t="shared" si="2"/>
        <v>0</v>
      </c>
      <c r="AE22" s="879">
        <f t="shared" si="3"/>
        <v>603840</v>
      </c>
      <c r="AF22" s="880">
        <f t="shared" si="4"/>
        <v>22200.000000000004</v>
      </c>
      <c r="AG22" s="880">
        <f>AC22</f>
        <v>581640</v>
      </c>
      <c r="AH22" s="880">
        <f t="shared" si="5"/>
        <v>603840</v>
      </c>
      <c r="AI22" s="878">
        <f>'[2]2021. előirányzat'!G22</f>
        <v>22200.000000000004</v>
      </c>
      <c r="AJ22" s="878">
        <f>'[2]2022. előirányzat'!G22</f>
        <v>22200.000000000004</v>
      </c>
      <c r="AK22" s="878">
        <f>'[2]2023. előirányzat'!G22</f>
        <v>22200.000000000004</v>
      </c>
      <c r="AL22" s="878">
        <f>'[2]2024. előirányzat'!G22</f>
        <v>0</v>
      </c>
      <c r="AM22" s="881">
        <f t="shared" si="6"/>
        <v>88800.000000000015</v>
      </c>
      <c r="AN22" s="881">
        <f t="shared" si="7"/>
        <v>581640</v>
      </c>
      <c r="AO22" s="881">
        <f t="shared" si="8"/>
        <v>0</v>
      </c>
      <c r="AP22" s="881">
        <f t="shared" si="9"/>
        <v>670440</v>
      </c>
      <c r="AQ22" s="882"/>
      <c r="AR22" s="883">
        <f>V22+X22+Z22</f>
        <v>333000</v>
      </c>
      <c r="AS22" s="884">
        <f>AP22-AR22</f>
        <v>337440</v>
      </c>
      <c r="AT22" s="882"/>
      <c r="AU22" s="882"/>
    </row>
    <row r="23" spans="1:49" ht="30" x14ac:dyDescent="0.25">
      <c r="A23" s="885" t="s">
        <v>436</v>
      </c>
      <c r="B23" s="757" t="str">
        <f>[1]előirányzat!B22</f>
        <v>Döbörhegy Község Önkormányzata</v>
      </c>
      <c r="C23" s="755">
        <v>170</v>
      </c>
      <c r="D23" s="878">
        <f>'[2]2009. évi előirányzat'!M23</f>
        <v>0</v>
      </c>
      <c r="E23" s="878">
        <f>'[2]2009. évi előirányzat'!N23</f>
        <v>0</v>
      </c>
      <c r="F23" s="878">
        <f>'[2]2009. évi előirányzat'!O23</f>
        <v>0</v>
      </c>
      <c r="G23" s="878">
        <f>'[2]2010. évi előirányzat'!J23</f>
        <v>0</v>
      </c>
      <c r="H23" s="878">
        <f>'[2]2010. évi előirányzat'!K23</f>
        <v>0</v>
      </c>
      <c r="I23" s="878">
        <f>'[2]2011. évi előirányzat'!J23</f>
        <v>0</v>
      </c>
      <c r="J23" s="878">
        <f>'[2]2011. évi előirányzat'!K23</f>
        <v>0</v>
      </c>
      <c r="K23" s="878">
        <f>'[2]2012. évi előirányzat'!J23</f>
        <v>0</v>
      </c>
      <c r="L23" s="878">
        <f>'[2]2012. évi előirányzat'!K23</f>
        <v>0</v>
      </c>
      <c r="M23" s="878">
        <f>'[2]2013. előirányzat'!J23</f>
        <v>0</v>
      </c>
      <c r="N23" s="878">
        <f>'[2]2013. előirányzat'!K23</f>
        <v>0</v>
      </c>
      <c r="O23" s="878">
        <f>'[2]2014. évi előirányzat'!J23</f>
        <v>0</v>
      </c>
      <c r="P23" s="878">
        <f>'[2]2014. évi előirányzat'!K23</f>
        <v>0</v>
      </c>
      <c r="Q23" s="878">
        <f>'[2]2015. évi előirányzat'!J23</f>
        <v>0</v>
      </c>
      <c r="R23" s="878">
        <f>'[2]2015. évi előirányzat'!K23</f>
        <v>0</v>
      </c>
      <c r="S23" s="878">
        <f>'[2]2016 előirányzat'!J23</f>
        <v>0</v>
      </c>
      <c r="T23" s="878">
        <f>'[2]2016 előirányzat'!K23</f>
        <v>0</v>
      </c>
      <c r="U23" s="878">
        <f>'[2]2017. előirányzat'!J23</f>
        <v>0</v>
      </c>
      <c r="V23" s="878">
        <f>'[2]2017. előirányzat'!K23</f>
        <v>-85000</v>
      </c>
      <c r="W23" s="878">
        <f>'[2]2018. előirányzat'!J23</f>
        <v>0</v>
      </c>
      <c r="X23" s="878">
        <f>'[2]2018. előirányzat'!K23</f>
        <v>0</v>
      </c>
      <c r="Y23" s="878">
        <f>'[2]2019. előirányzat'!J23</f>
        <v>0</v>
      </c>
      <c r="Z23" s="878">
        <f>'[2]2019. előirányzat'!K23</f>
        <v>0</v>
      </c>
      <c r="AA23" s="878">
        <f>'[2]2020. előirányzat'!G23</f>
        <v>0</v>
      </c>
      <c r="AB23" s="879">
        <f t="shared" si="0"/>
        <v>0</v>
      </c>
      <c r="AC23" s="879">
        <f t="shared" si="1"/>
        <v>-85000</v>
      </c>
      <c r="AD23" s="879">
        <f t="shared" si="2"/>
        <v>0</v>
      </c>
      <c r="AE23" s="879">
        <f t="shared" si="3"/>
        <v>-85000</v>
      </c>
      <c r="AF23" s="880">
        <f t="shared" si="4"/>
        <v>0</v>
      </c>
      <c r="AG23" s="880">
        <f>AE23+(3*17000)+34000</f>
        <v>0</v>
      </c>
      <c r="AH23" s="880">
        <f t="shared" si="5"/>
        <v>0</v>
      </c>
      <c r="AI23" s="878">
        <f>'[2]2021. előirányzat'!G23</f>
        <v>0</v>
      </c>
      <c r="AJ23" s="878">
        <f>'[2]2022. előirányzat'!G23</f>
        <v>0</v>
      </c>
      <c r="AK23" s="878">
        <f>'[2]2023. előirányzat'!G23</f>
        <v>0</v>
      </c>
      <c r="AL23" s="878">
        <f>'[2]2024. előirányzat'!G23</f>
        <v>0</v>
      </c>
      <c r="AM23" s="881">
        <f t="shared" si="6"/>
        <v>0</v>
      </c>
      <c r="AN23" s="881">
        <f t="shared" si="7"/>
        <v>0</v>
      </c>
      <c r="AO23" s="881">
        <f t="shared" si="8"/>
        <v>0</v>
      </c>
      <c r="AP23" s="881">
        <f t="shared" si="9"/>
        <v>0</v>
      </c>
      <c r="AQ23" s="882"/>
      <c r="AR23" s="883"/>
      <c r="AS23" s="884"/>
      <c r="AT23" s="882"/>
      <c r="AU23" s="882" t="s">
        <v>786</v>
      </c>
    </row>
    <row r="24" spans="1:49" ht="30" x14ac:dyDescent="0.25">
      <c r="A24" s="885" t="s">
        <v>517</v>
      </c>
      <c r="B24" s="757" t="str">
        <f>[1]előirányzat!B23</f>
        <v>Döröske Község Önkormányzata</v>
      </c>
      <c r="C24" s="755">
        <v>103</v>
      </c>
      <c r="D24" s="878">
        <f>'[2]2009. évi előirányzat'!M24</f>
        <v>0</v>
      </c>
      <c r="E24" s="878">
        <f>'[2]2009. évi előirányzat'!N24</f>
        <v>0</v>
      </c>
      <c r="F24" s="878">
        <f>'[2]2009. évi előirányzat'!O24</f>
        <v>0</v>
      </c>
      <c r="G24" s="878">
        <f>'[2]2010. évi előirányzat'!J24</f>
        <v>0</v>
      </c>
      <c r="H24" s="878">
        <f>'[2]2010. évi előirányzat'!K24</f>
        <v>0</v>
      </c>
      <c r="I24" s="878">
        <f>'[2]2011. évi előirányzat'!J24</f>
        <v>0</v>
      </c>
      <c r="J24" s="878">
        <f>'[2]2011. évi előirányzat'!K24</f>
        <v>0</v>
      </c>
      <c r="K24" s="878">
        <f>'[2]2012. évi előirányzat'!J24</f>
        <v>0</v>
      </c>
      <c r="L24" s="878">
        <f>'[2]2012. évi előirányzat'!K24</f>
        <v>0</v>
      </c>
      <c r="M24" s="878">
        <f>'[2]2013. előirányzat'!J24</f>
        <v>0</v>
      </c>
      <c r="N24" s="878">
        <f>'[2]2013. előirányzat'!K24</f>
        <v>0</v>
      </c>
      <c r="O24" s="878">
        <f>'[2]2014. évi előirányzat'!J24</f>
        <v>0</v>
      </c>
      <c r="P24" s="878">
        <f>'[2]2014. évi előirányzat'!K24</f>
        <v>0</v>
      </c>
      <c r="Q24" s="878">
        <f>'[2]2015. évi előirányzat'!J24</f>
        <v>0</v>
      </c>
      <c r="R24" s="878">
        <f>'[2]2015. évi előirányzat'!K24</f>
        <v>0</v>
      </c>
      <c r="S24" s="878">
        <f>'[2]2016 előirányzat'!J24</f>
        <v>0</v>
      </c>
      <c r="T24" s="878">
        <f>'[2]2016 előirányzat'!K24</f>
        <v>0</v>
      </c>
      <c r="U24" s="878">
        <f>'[2]2017. előirányzat'!J24</f>
        <v>0</v>
      </c>
      <c r="V24" s="878">
        <f>'[2]2017. előirányzat'!K24</f>
        <v>-51500</v>
      </c>
      <c r="W24" s="878">
        <f>'[2]2018. előirányzat'!J24</f>
        <v>0</v>
      </c>
      <c r="X24" s="878">
        <f>'[2]2018. előirányzat'!K24</f>
        <v>0</v>
      </c>
      <c r="Y24" s="878">
        <f>'[2]2019. előirányzat'!J24</f>
        <v>0</v>
      </c>
      <c r="Z24" s="878">
        <f>'[2]2019. előirányzat'!K24</f>
        <v>0</v>
      </c>
      <c r="AA24" s="878">
        <f>'[2]2020. előirányzat'!G24</f>
        <v>0</v>
      </c>
      <c r="AB24" s="879">
        <f t="shared" si="0"/>
        <v>0</v>
      </c>
      <c r="AC24" s="879">
        <f t="shared" si="1"/>
        <v>-51500</v>
      </c>
      <c r="AD24" s="879">
        <f t="shared" si="2"/>
        <v>0</v>
      </c>
      <c r="AE24" s="879">
        <f t="shared" si="3"/>
        <v>-51500</v>
      </c>
      <c r="AF24" s="880">
        <f t="shared" si="4"/>
        <v>0</v>
      </c>
      <c r="AG24" s="880">
        <f>AE24+(3*10300)+20600</f>
        <v>0</v>
      </c>
      <c r="AH24" s="880">
        <f t="shared" si="5"/>
        <v>0</v>
      </c>
      <c r="AI24" s="878">
        <f>'[2]2021. előirányzat'!G24</f>
        <v>0</v>
      </c>
      <c r="AJ24" s="878">
        <f>'[2]2022. előirányzat'!G24</f>
        <v>0</v>
      </c>
      <c r="AK24" s="878">
        <f>'[2]2023. előirányzat'!G24</f>
        <v>0</v>
      </c>
      <c r="AL24" s="878">
        <f>'[2]2024. előirányzat'!G24</f>
        <v>0</v>
      </c>
      <c r="AM24" s="881">
        <f t="shared" si="6"/>
        <v>0</v>
      </c>
      <c r="AN24" s="881">
        <f t="shared" si="7"/>
        <v>0</v>
      </c>
      <c r="AO24" s="881">
        <f t="shared" si="8"/>
        <v>0</v>
      </c>
      <c r="AP24" s="881">
        <f t="shared" si="9"/>
        <v>0</v>
      </c>
      <c r="AQ24" s="882"/>
      <c r="AR24" s="883"/>
      <c r="AS24" s="884"/>
      <c r="AT24" s="882"/>
      <c r="AU24" s="882" t="s">
        <v>786</v>
      </c>
    </row>
    <row r="25" spans="1:49" ht="30" x14ac:dyDescent="0.25">
      <c r="A25" s="754" t="s">
        <v>437</v>
      </c>
      <c r="B25" s="757" t="str">
        <f>[1]előirányzat!B24</f>
        <v>Duka Község Önkormányzata</v>
      </c>
      <c r="C25" s="755">
        <f>[1]előirányzat!D24</f>
        <v>250</v>
      </c>
      <c r="D25" s="878">
        <f>'[2]2009. évi előirányzat'!M25</f>
        <v>0</v>
      </c>
      <c r="E25" s="878">
        <f>'[2]2009. évi előirányzat'!N25</f>
        <v>0</v>
      </c>
      <c r="F25" s="878">
        <f>'[2]2009. évi előirányzat'!O25</f>
        <v>0</v>
      </c>
      <c r="G25" s="878">
        <f>'[2]2010. évi előirányzat'!J25</f>
        <v>0</v>
      </c>
      <c r="H25" s="878">
        <f>'[2]2010. évi előirányzat'!K25</f>
        <v>0</v>
      </c>
      <c r="I25" s="878">
        <f>'[2]2011. évi előirányzat'!J25</f>
        <v>0</v>
      </c>
      <c r="J25" s="878">
        <f>'[2]2011. évi előirányzat'!K25</f>
        <v>0</v>
      </c>
      <c r="K25" s="878">
        <f>'[2]2012. évi előirányzat'!J25</f>
        <v>0</v>
      </c>
      <c r="L25" s="878">
        <f>'[2]2012. évi előirányzat'!K25</f>
        <v>0</v>
      </c>
      <c r="M25" s="878">
        <f>'[2]2013. előirányzat'!J25</f>
        <v>0</v>
      </c>
      <c r="N25" s="878">
        <f>'[2]2013. előirányzat'!K25</f>
        <v>0</v>
      </c>
      <c r="O25" s="878">
        <f>'[2]2014. évi előirányzat'!J25</f>
        <v>0</v>
      </c>
      <c r="P25" s="878">
        <f>'[2]2014. évi előirányzat'!K25</f>
        <v>0</v>
      </c>
      <c r="Q25" s="878">
        <f>'[2]2015. évi előirányzat'!J25</f>
        <v>0</v>
      </c>
      <c r="R25" s="878">
        <f>'[2]2015. évi előirányzat'!K25</f>
        <v>0</v>
      </c>
      <c r="S25" s="878">
        <f>'[2]2016 előirányzat'!J25</f>
        <v>0</v>
      </c>
      <c r="T25" s="878">
        <f>'[2]2016 előirányzat'!K25</f>
        <v>0</v>
      </c>
      <c r="U25" s="878">
        <f>'[2]2017. előirányzat'!J25</f>
        <v>0</v>
      </c>
      <c r="V25" s="878">
        <f>'[2]2017. előirányzat'!K25</f>
        <v>0</v>
      </c>
      <c r="W25" s="878">
        <f>'[2]2018. előirányzat'!J25</f>
        <v>0</v>
      </c>
      <c r="X25" s="878">
        <f>'[2]2018. előirányzat'!K25</f>
        <v>0</v>
      </c>
      <c r="Y25" s="878">
        <f>'[2]2019. előirányzat'!J25</f>
        <v>0</v>
      </c>
      <c r="Z25" s="878">
        <f>'[2]2019. előirányzat'!K25</f>
        <v>0</v>
      </c>
      <c r="AA25" s="878">
        <f>'[2]2020. előirányzat'!G25</f>
        <v>0</v>
      </c>
      <c r="AB25" s="879">
        <f t="shared" si="0"/>
        <v>0</v>
      </c>
      <c r="AC25" s="879">
        <f t="shared" si="1"/>
        <v>0</v>
      </c>
      <c r="AD25" s="879">
        <f t="shared" si="2"/>
        <v>0</v>
      </c>
      <c r="AE25" s="879">
        <f t="shared" si="3"/>
        <v>0</v>
      </c>
      <c r="AF25" s="880">
        <f t="shared" si="4"/>
        <v>0</v>
      </c>
      <c r="AG25" s="880">
        <f>AE25</f>
        <v>0</v>
      </c>
      <c r="AH25" s="880">
        <f t="shared" si="5"/>
        <v>0</v>
      </c>
      <c r="AI25" s="878">
        <f>'[2]2021. előirányzat'!G25</f>
        <v>0</v>
      </c>
      <c r="AJ25" s="878">
        <f>'[2]2022. előirányzat'!G25</f>
        <v>0</v>
      </c>
      <c r="AK25" s="878">
        <f>'[2]2023. előirányzat'!G25</f>
        <v>0</v>
      </c>
      <c r="AL25" s="878">
        <f>'[2]2024. előirányzat'!G25</f>
        <v>0</v>
      </c>
      <c r="AM25" s="881">
        <f t="shared" si="6"/>
        <v>0</v>
      </c>
      <c r="AN25" s="881">
        <f t="shared" si="7"/>
        <v>0</v>
      </c>
      <c r="AO25" s="881">
        <f t="shared" si="8"/>
        <v>0</v>
      </c>
      <c r="AP25" s="881">
        <f t="shared" si="9"/>
        <v>0</v>
      </c>
      <c r="AQ25" s="882"/>
      <c r="AR25" s="883"/>
      <c r="AS25" s="884"/>
      <c r="AT25" s="882"/>
      <c r="AU25" s="882" t="s">
        <v>783</v>
      </c>
    </row>
    <row r="26" spans="1:49" ht="30" x14ac:dyDescent="0.25">
      <c r="A26" s="885" t="s">
        <v>438</v>
      </c>
      <c r="B26" s="757" t="str">
        <f>[1]előirányzat!B25</f>
        <v>Egervölgy Község Önkormányzata</v>
      </c>
      <c r="C26" s="755">
        <v>386</v>
      </c>
      <c r="D26" s="878">
        <f>'[2]2009. évi előirányzat'!M26</f>
        <v>0</v>
      </c>
      <c r="E26" s="878">
        <f>'[2]2009. évi előirányzat'!N26</f>
        <v>0</v>
      </c>
      <c r="F26" s="878">
        <f>'[2]2009. évi előirányzat'!O26</f>
        <v>0</v>
      </c>
      <c r="G26" s="878">
        <f>'[2]2010. évi előirányzat'!J26</f>
        <v>0</v>
      </c>
      <c r="H26" s="878">
        <f>'[2]2010. évi előirányzat'!K26</f>
        <v>0</v>
      </c>
      <c r="I26" s="878">
        <f>'[2]2011. évi előirányzat'!J26</f>
        <v>0</v>
      </c>
      <c r="J26" s="878">
        <f>'[2]2011. évi előirányzat'!K26</f>
        <v>0</v>
      </c>
      <c r="K26" s="878">
        <f>'[2]2012. évi előirányzat'!J26</f>
        <v>0</v>
      </c>
      <c r="L26" s="878">
        <f>'[2]2012. évi előirányzat'!K26</f>
        <v>0</v>
      </c>
      <c r="M26" s="878">
        <f>'[2]2013. előirányzat'!J26</f>
        <v>0</v>
      </c>
      <c r="N26" s="878">
        <f>'[2]2013. előirányzat'!K26</f>
        <v>0</v>
      </c>
      <c r="O26" s="878">
        <f>'[2]2014. évi előirányzat'!J26</f>
        <v>0</v>
      </c>
      <c r="P26" s="878">
        <f>'[2]2014. évi előirányzat'!K26</f>
        <v>0</v>
      </c>
      <c r="Q26" s="878">
        <f>'[2]2015. évi előirányzat'!J26</f>
        <v>0</v>
      </c>
      <c r="R26" s="878">
        <f>'[2]2015. évi előirányzat'!K26</f>
        <v>0</v>
      </c>
      <c r="S26" s="878">
        <f>'[2]2016 előirányzat'!J26</f>
        <v>0</v>
      </c>
      <c r="T26" s="878">
        <f>'[2]2016 előirányzat'!K26</f>
        <v>0</v>
      </c>
      <c r="U26" s="878">
        <f>'[2]2017. előirányzat'!J26</f>
        <v>0</v>
      </c>
      <c r="V26" s="878">
        <f>'[2]2017. előirányzat'!K26</f>
        <v>-193000</v>
      </c>
      <c r="W26" s="878">
        <f>'[2]2018. előirányzat'!J26</f>
        <v>0</v>
      </c>
      <c r="X26" s="878">
        <f>'[2]2018. előirányzat'!K26</f>
        <v>0</v>
      </c>
      <c r="Y26" s="878">
        <f>'[2]2019. előirányzat'!J26</f>
        <v>0</v>
      </c>
      <c r="Z26" s="878">
        <f>'[2]2019. előirányzat'!K26</f>
        <v>0</v>
      </c>
      <c r="AA26" s="878">
        <f>'[2]2020. előirányzat'!G26</f>
        <v>0</v>
      </c>
      <c r="AB26" s="879">
        <f t="shared" si="0"/>
        <v>0</v>
      </c>
      <c r="AC26" s="879">
        <f t="shared" si="1"/>
        <v>-193000</v>
      </c>
      <c r="AD26" s="879">
        <f t="shared" si="2"/>
        <v>0</v>
      </c>
      <c r="AE26" s="879">
        <f t="shared" si="3"/>
        <v>-193000</v>
      </c>
      <c r="AF26" s="880">
        <f t="shared" si="4"/>
        <v>0</v>
      </c>
      <c r="AG26" s="880">
        <f>AE26+(3*38600)+77200</f>
        <v>0</v>
      </c>
      <c r="AH26" s="880">
        <f t="shared" si="5"/>
        <v>0</v>
      </c>
      <c r="AI26" s="878">
        <f>'[2]2021. előirányzat'!G26</f>
        <v>0</v>
      </c>
      <c r="AJ26" s="878">
        <f>'[2]2022. előirányzat'!G26</f>
        <v>0</v>
      </c>
      <c r="AK26" s="878">
        <f>'[2]2023. előirányzat'!G26</f>
        <v>0</v>
      </c>
      <c r="AL26" s="878">
        <f>'[2]2024. előirányzat'!G26</f>
        <v>0</v>
      </c>
      <c r="AM26" s="881">
        <f t="shared" si="6"/>
        <v>0</v>
      </c>
      <c r="AN26" s="881">
        <f t="shared" si="7"/>
        <v>0</v>
      </c>
      <c r="AO26" s="881">
        <f t="shared" si="8"/>
        <v>0</v>
      </c>
      <c r="AP26" s="881">
        <f t="shared" si="9"/>
        <v>0</v>
      </c>
      <c r="AQ26" s="882"/>
      <c r="AR26" s="883"/>
      <c r="AS26" s="884"/>
      <c r="AT26" s="882"/>
      <c r="AU26" s="882" t="s">
        <v>780</v>
      </c>
    </row>
    <row r="27" spans="1:49" ht="45" x14ac:dyDescent="0.25">
      <c r="A27" s="885" t="s">
        <v>439</v>
      </c>
      <c r="B27" s="757" t="str">
        <f>[1]előirányzat!B26</f>
        <v>Egyházashollós Község Önkormányzata</v>
      </c>
      <c r="C27" s="755">
        <v>582</v>
      </c>
      <c r="D27" s="878">
        <f>'[2]2009. évi előirányzat'!M27</f>
        <v>0</v>
      </c>
      <c r="E27" s="878">
        <f>'[2]2009. évi előirányzat'!N27</f>
        <v>0</v>
      </c>
      <c r="F27" s="878">
        <f>'[2]2009. évi előirányzat'!O27</f>
        <v>0</v>
      </c>
      <c r="G27" s="878">
        <f>'[2]2010. évi előirányzat'!J27</f>
        <v>0</v>
      </c>
      <c r="H27" s="878">
        <f>'[2]2010. évi előirányzat'!K27</f>
        <v>0</v>
      </c>
      <c r="I27" s="878">
        <f>'[2]2011. évi előirányzat'!J27</f>
        <v>0</v>
      </c>
      <c r="J27" s="878">
        <f>'[2]2011. évi előirányzat'!K27</f>
        <v>0</v>
      </c>
      <c r="K27" s="878">
        <f>'[2]2012. évi előirányzat'!J27</f>
        <v>0</v>
      </c>
      <c r="L27" s="878">
        <f>'[2]2012. évi előirányzat'!K27</f>
        <v>0</v>
      </c>
      <c r="M27" s="878">
        <f>'[2]2013. előirányzat'!J27</f>
        <v>0</v>
      </c>
      <c r="N27" s="878">
        <f>'[2]2013. előirányzat'!K27</f>
        <v>0</v>
      </c>
      <c r="O27" s="878">
        <f>'[2]2014. évi előirányzat'!J27</f>
        <v>0</v>
      </c>
      <c r="P27" s="878">
        <f>'[2]2014. évi előirányzat'!K27</f>
        <v>0</v>
      </c>
      <c r="Q27" s="878">
        <f>'[2]2015. évi előirányzat'!J27</f>
        <v>0</v>
      </c>
      <c r="R27" s="878">
        <f>'[2]2015. évi előirányzat'!K27</f>
        <v>0</v>
      </c>
      <c r="S27" s="878">
        <f>'[2]2016 előirányzat'!J27</f>
        <v>0</v>
      </c>
      <c r="T27" s="878">
        <f>'[2]2016 előirányzat'!K27</f>
        <v>0</v>
      </c>
      <c r="U27" s="878">
        <f>'[2]2017. előirányzat'!J27</f>
        <v>0</v>
      </c>
      <c r="V27" s="878">
        <f>'[2]2017. előirányzat'!K27</f>
        <v>0</v>
      </c>
      <c r="W27" s="878">
        <f>'[2]2018. előirányzat'!J27</f>
        <v>0</v>
      </c>
      <c r="X27" s="878">
        <f>'[2]2018. előirányzat'!K27</f>
        <v>0</v>
      </c>
      <c r="Y27" s="878">
        <f>'[2]2019. előirányzat'!J27</f>
        <v>0</v>
      </c>
      <c r="Z27" s="878">
        <f>'[2]2019. előirányzat'!K27</f>
        <v>0</v>
      </c>
      <c r="AA27" s="755">
        <f>'[2]2020. előirányzat'!G27</f>
        <v>0</v>
      </c>
      <c r="AB27" s="879">
        <f t="shared" si="0"/>
        <v>0</v>
      </c>
      <c r="AC27" s="879">
        <f t="shared" si="1"/>
        <v>0</v>
      </c>
      <c r="AD27" s="879">
        <f t="shared" si="2"/>
        <v>0</v>
      </c>
      <c r="AE27" s="879">
        <f t="shared" si="3"/>
        <v>0</v>
      </c>
      <c r="AF27" s="880">
        <f t="shared" si="4"/>
        <v>0</v>
      </c>
      <c r="AG27" s="880">
        <f>AE27</f>
        <v>0</v>
      </c>
      <c r="AH27" s="880">
        <f t="shared" si="5"/>
        <v>0</v>
      </c>
      <c r="AI27" s="878">
        <f>'[2]2021. előirányzat'!G27</f>
        <v>0</v>
      </c>
      <c r="AJ27" s="878">
        <f>'[2]2022. előirányzat'!G27</f>
        <v>0</v>
      </c>
      <c r="AK27" s="878">
        <f>'[2]2023. előirányzat'!G27</f>
        <v>0</v>
      </c>
      <c r="AL27" s="878">
        <f>'[2]2024. előirányzat'!G27</f>
        <v>0</v>
      </c>
      <c r="AM27" s="881">
        <f t="shared" si="6"/>
        <v>0</v>
      </c>
      <c r="AN27" s="881">
        <f t="shared" si="7"/>
        <v>0</v>
      </c>
      <c r="AO27" s="881">
        <f t="shared" si="8"/>
        <v>0</v>
      </c>
      <c r="AP27" s="881">
        <f t="shared" si="9"/>
        <v>0</v>
      </c>
      <c r="AQ27" s="882"/>
      <c r="AR27" s="883"/>
      <c r="AS27" s="884"/>
      <c r="AT27" s="882"/>
      <c r="AU27" s="882" t="s">
        <v>786</v>
      </c>
    </row>
    <row r="28" spans="1:49" ht="45" x14ac:dyDescent="0.25">
      <c r="A28" s="754" t="s">
        <v>440</v>
      </c>
      <c r="B28" s="755" t="str">
        <f>[1]előirányzat!B27</f>
        <v>Egyházasrádóc Község Önkormányzata</v>
      </c>
      <c r="C28" s="755">
        <v>1339</v>
      </c>
      <c r="D28" s="878">
        <f>'[2]2009. évi előirányzat'!M28</f>
        <v>0</v>
      </c>
      <c r="E28" s="878">
        <f>'[2]2009. évi előirányzat'!N28</f>
        <v>0</v>
      </c>
      <c r="F28" s="878">
        <f>'[2]2009. évi előirányzat'!O28</f>
        <v>0</v>
      </c>
      <c r="G28" s="878">
        <f>'[2]2010. évi előirányzat'!J28</f>
        <v>0</v>
      </c>
      <c r="H28" s="878">
        <f>'[2]2010. évi előirányzat'!K28</f>
        <v>0</v>
      </c>
      <c r="I28" s="878">
        <f>'[2]2011. évi előirányzat'!J28</f>
        <v>0</v>
      </c>
      <c r="J28" s="878">
        <f>'[2]2011. évi előirányzat'!K28</f>
        <v>0</v>
      </c>
      <c r="K28" s="878">
        <f>'[2]2012. évi előirányzat'!J28</f>
        <v>0</v>
      </c>
      <c r="L28" s="878">
        <f>'[2]2012. évi előirányzat'!K28</f>
        <v>0</v>
      </c>
      <c r="M28" s="878">
        <f>'[2]2013. előirányzat'!J28</f>
        <v>0</v>
      </c>
      <c r="N28" s="878">
        <f>'[2]2013. előirányzat'!K28</f>
        <v>0</v>
      </c>
      <c r="O28" s="878">
        <f>'[2]2014. évi előirányzat'!J28</f>
        <v>0</v>
      </c>
      <c r="P28" s="878">
        <f>'[2]2014. évi előirányzat'!K28</f>
        <v>0</v>
      </c>
      <c r="Q28" s="878">
        <f>'[2]2015. évi előirányzat'!J28</f>
        <v>0</v>
      </c>
      <c r="R28" s="878">
        <f>'[2]2015. évi előirányzat'!K28</f>
        <v>0</v>
      </c>
      <c r="S28" s="878">
        <f>'[2]2016 előirányzat'!J28</f>
        <v>0</v>
      </c>
      <c r="T28" s="878">
        <f>'[2]2016 előirányzat'!K28</f>
        <v>455252</v>
      </c>
      <c r="U28" s="878">
        <f>'[2]2017. előirányzat'!J28</f>
        <v>133900</v>
      </c>
      <c r="V28" s="878">
        <f>'[2]2017. előirányzat'!K28</f>
        <v>669500</v>
      </c>
      <c r="W28" s="878">
        <f>'[2]2018. előirányzat'!J28</f>
        <v>133900</v>
      </c>
      <c r="X28" s="878">
        <f>'[2]2018. előirányzat'!K28</f>
        <v>669500</v>
      </c>
      <c r="Y28" s="878">
        <f>'[2]2019. előirányzat'!J28</f>
        <v>133900</v>
      </c>
      <c r="Z28" s="878">
        <f>'[2]2019. előirányzat'!K28</f>
        <v>669500</v>
      </c>
      <c r="AA28" s="878">
        <f>'[2]2020. előirányzat'!G28</f>
        <v>133900</v>
      </c>
      <c r="AB28" s="879">
        <f t="shared" si="0"/>
        <v>535600</v>
      </c>
      <c r="AC28" s="879">
        <f t="shared" si="1"/>
        <v>2463752</v>
      </c>
      <c r="AD28" s="879">
        <f t="shared" si="2"/>
        <v>0</v>
      </c>
      <c r="AE28" s="879">
        <f t="shared" si="3"/>
        <v>2999352</v>
      </c>
      <c r="AF28" s="880">
        <f t="shared" si="4"/>
        <v>535600</v>
      </c>
      <c r="AG28" s="880">
        <f>AC28</f>
        <v>2463752</v>
      </c>
      <c r="AH28" s="880">
        <f t="shared" si="5"/>
        <v>2999352</v>
      </c>
      <c r="AI28" s="878">
        <f>'[2]2021. előirányzat'!G28</f>
        <v>133900</v>
      </c>
      <c r="AJ28" s="878">
        <f>'[2]2022. előirányzat'!G28</f>
        <v>133900</v>
      </c>
      <c r="AK28" s="878">
        <f>'[2]2023. előirányzat'!G28</f>
        <v>133900</v>
      </c>
      <c r="AL28" s="878">
        <f>'[2]2024. előirányzat'!G28</f>
        <v>0</v>
      </c>
      <c r="AM28" s="881">
        <f t="shared" si="6"/>
        <v>937300</v>
      </c>
      <c r="AN28" s="881">
        <f t="shared" si="7"/>
        <v>2463752</v>
      </c>
      <c r="AO28" s="881">
        <f t="shared" si="8"/>
        <v>0</v>
      </c>
      <c r="AP28" s="881">
        <f t="shared" si="9"/>
        <v>3401052</v>
      </c>
      <c r="AQ28" s="882"/>
      <c r="AR28" s="883">
        <f>V28+X28+Z28</f>
        <v>2008500</v>
      </c>
      <c r="AS28" s="884">
        <f>AP28-AR28</f>
        <v>1392552</v>
      </c>
      <c r="AT28" s="882"/>
      <c r="AU28" s="882" t="s">
        <v>786</v>
      </c>
    </row>
    <row r="29" spans="1:49" ht="30" x14ac:dyDescent="0.25">
      <c r="A29" s="885" t="s">
        <v>441</v>
      </c>
      <c r="B29" s="755" t="str">
        <f>[1]előirányzat!B28</f>
        <v>Felsőcsatár Község Önkormányzata</v>
      </c>
      <c r="C29" s="755">
        <v>476</v>
      </c>
      <c r="D29" s="878">
        <f>'[2]2009. évi előirányzat'!M29</f>
        <v>0</v>
      </c>
      <c r="E29" s="878">
        <f>'[2]2009. évi előirányzat'!N29</f>
        <v>0</v>
      </c>
      <c r="F29" s="878">
        <f>'[2]2009. évi előirányzat'!O29</f>
        <v>0</v>
      </c>
      <c r="G29" s="878">
        <f>'[2]2010. évi előirányzat'!J29</f>
        <v>0</v>
      </c>
      <c r="H29" s="878">
        <f>'[2]2010. évi előirányzat'!K29</f>
        <v>0</v>
      </c>
      <c r="I29" s="878">
        <f>'[2]2011. évi előirányzat'!J29</f>
        <v>0</v>
      </c>
      <c r="J29" s="878">
        <f>'[2]2011. évi előirányzat'!K29</f>
        <v>0</v>
      </c>
      <c r="K29" s="878">
        <f>'[2]2012. évi előirányzat'!J29</f>
        <v>0</v>
      </c>
      <c r="L29" s="878">
        <f>'[2]2012. évi előirányzat'!K29</f>
        <v>0</v>
      </c>
      <c r="M29" s="878">
        <f>'[2]2013. előirányzat'!J29</f>
        <v>0</v>
      </c>
      <c r="N29" s="878">
        <f>'[2]2013. előirányzat'!K29</f>
        <v>0</v>
      </c>
      <c r="O29" s="878">
        <f>'[2]2014. évi előirányzat'!J29</f>
        <v>0</v>
      </c>
      <c r="P29" s="878">
        <f>'[2]2014. évi előirányzat'!K29</f>
        <v>0</v>
      </c>
      <c r="Q29" s="878">
        <f>'[2]2015. évi előirányzat'!J29</f>
        <v>0</v>
      </c>
      <c r="R29" s="878">
        <f>'[2]2015. évi előirányzat'!K29</f>
        <v>104720</v>
      </c>
      <c r="S29" s="878">
        <f>'[2]2016 előirányzat'!J29</f>
        <v>47600</v>
      </c>
      <c r="T29" s="878">
        <f>'[2]2016 előirányzat'!K29</f>
        <v>238000</v>
      </c>
      <c r="U29" s="878">
        <f>'[2]2017. előirányzat'!J29</f>
        <v>47600</v>
      </c>
      <c r="V29" s="878">
        <f>'[2]2017. előirányzat'!K29</f>
        <v>238000</v>
      </c>
      <c r="W29" s="878">
        <f>'[2]2018. előirányzat'!J29</f>
        <v>47600</v>
      </c>
      <c r="X29" s="878">
        <f>'[2]2018. előirányzat'!K29</f>
        <v>238000</v>
      </c>
      <c r="Y29" s="878">
        <f>'[2]2019. előirányzat'!J29</f>
        <v>47600</v>
      </c>
      <c r="Z29" s="878">
        <f>'[2]2019. előirányzat'!K29</f>
        <v>238000</v>
      </c>
      <c r="AA29" s="878">
        <f>'[2]2020. előirányzat'!G29</f>
        <v>47600</v>
      </c>
      <c r="AB29" s="879">
        <f t="shared" si="0"/>
        <v>238000</v>
      </c>
      <c r="AC29" s="879">
        <f t="shared" si="1"/>
        <v>1056720</v>
      </c>
      <c r="AD29" s="879">
        <f t="shared" si="2"/>
        <v>0</v>
      </c>
      <c r="AE29" s="879">
        <f t="shared" si="3"/>
        <v>1294720</v>
      </c>
      <c r="AF29" s="880">
        <f t="shared" si="4"/>
        <v>238000</v>
      </c>
      <c r="AG29" s="880">
        <f>AC29</f>
        <v>1056720</v>
      </c>
      <c r="AH29" s="880">
        <f t="shared" si="5"/>
        <v>1294720</v>
      </c>
      <c r="AI29" s="878">
        <f>'[2]2021. előirányzat'!G29</f>
        <v>47600</v>
      </c>
      <c r="AJ29" s="878">
        <f>'[2]2022. előirányzat'!G29</f>
        <v>47600</v>
      </c>
      <c r="AK29" s="878">
        <f>'[2]2023. előirányzat'!G29</f>
        <v>47600</v>
      </c>
      <c r="AL29" s="878">
        <f>'[2]2024. előirányzat'!G29</f>
        <v>0</v>
      </c>
      <c r="AM29" s="881">
        <f t="shared" si="6"/>
        <v>380800</v>
      </c>
      <c r="AN29" s="881">
        <f t="shared" si="7"/>
        <v>1056720</v>
      </c>
      <c r="AO29" s="881">
        <f t="shared" si="8"/>
        <v>0</v>
      </c>
      <c r="AP29" s="881">
        <f t="shared" si="9"/>
        <v>1437520</v>
      </c>
      <c r="AQ29" s="882"/>
      <c r="AR29" s="883">
        <f>V29+X29+Z29</f>
        <v>714000</v>
      </c>
      <c r="AS29" s="884">
        <f>AP29-AR29</f>
        <v>723520</v>
      </c>
      <c r="AT29" s="882"/>
      <c r="AU29" s="882" t="s">
        <v>788</v>
      </c>
    </row>
    <row r="30" spans="1:49" ht="30" x14ac:dyDescent="0.25">
      <c r="A30" s="885" t="s">
        <v>442</v>
      </c>
      <c r="B30" s="757" t="str">
        <f>[1]előirányzat!B29</f>
        <v>Felsőjánosfa Község Önkormányzata</v>
      </c>
      <c r="C30" s="755">
        <v>202</v>
      </c>
      <c r="D30" s="878">
        <f>'[2]2009. évi előirányzat'!M30</f>
        <v>0</v>
      </c>
      <c r="E30" s="878">
        <f>'[2]2009. évi előirányzat'!N30</f>
        <v>0</v>
      </c>
      <c r="F30" s="878">
        <f>'[2]2009. évi előirányzat'!O30</f>
        <v>0</v>
      </c>
      <c r="G30" s="878">
        <f>'[2]2010. évi előirányzat'!J30</f>
        <v>0</v>
      </c>
      <c r="H30" s="878">
        <f>'[2]2010. évi előirányzat'!K30</f>
        <v>0</v>
      </c>
      <c r="I30" s="878">
        <f>'[2]2011. évi előirányzat'!J30</f>
        <v>0</v>
      </c>
      <c r="J30" s="878">
        <f>'[2]2011. évi előirányzat'!K30</f>
        <v>0</v>
      </c>
      <c r="K30" s="878">
        <f>'[2]2012. évi előirányzat'!J30</f>
        <v>0</v>
      </c>
      <c r="L30" s="878">
        <f>'[2]2012. évi előirányzat'!K30</f>
        <v>0</v>
      </c>
      <c r="M30" s="878">
        <f>'[2]2013. előirányzat'!J30</f>
        <v>0</v>
      </c>
      <c r="N30" s="878">
        <f>'[2]2013. előirányzat'!K30</f>
        <v>0</v>
      </c>
      <c r="O30" s="878">
        <f>'[2]2014. évi előirányzat'!J30</f>
        <v>0</v>
      </c>
      <c r="P30" s="878">
        <f>'[2]2014. évi előirányzat'!K30</f>
        <v>0</v>
      </c>
      <c r="Q30" s="878">
        <f>'[2]2015. évi előirányzat'!J30</f>
        <v>0</v>
      </c>
      <c r="R30" s="878">
        <f>'[2]2015. évi előirányzat'!K30</f>
        <v>0</v>
      </c>
      <c r="S30" s="878">
        <f>'[2]2016 előirányzat'!J30</f>
        <v>0</v>
      </c>
      <c r="T30" s="878">
        <f>'[2]2016 előirányzat'!K30</f>
        <v>0</v>
      </c>
      <c r="U30" s="878">
        <f>'[2]2017. előirányzat'!J30</f>
        <v>0</v>
      </c>
      <c r="V30" s="878">
        <f>'[2]2017. előirányzat'!K30</f>
        <v>-101000</v>
      </c>
      <c r="W30" s="878">
        <f>'[2]2018. előirányzat'!J30</f>
        <v>0</v>
      </c>
      <c r="X30" s="878">
        <f>'[2]2018. előirányzat'!K30</f>
        <v>-101000</v>
      </c>
      <c r="Y30" s="878">
        <f>'[2]2019. előirányzat'!J30</f>
        <v>0</v>
      </c>
      <c r="Z30" s="878">
        <f>'[2]2019. előirányzat'!K30</f>
        <v>-101000</v>
      </c>
      <c r="AA30" s="878">
        <f>'[2]2020. előirányzat'!G30</f>
        <v>0</v>
      </c>
      <c r="AB30" s="879">
        <f t="shared" si="0"/>
        <v>0</v>
      </c>
      <c r="AC30" s="879">
        <f t="shared" si="1"/>
        <v>-303000</v>
      </c>
      <c r="AD30" s="879">
        <f t="shared" si="2"/>
        <v>0</v>
      </c>
      <c r="AE30" s="879">
        <f t="shared" si="3"/>
        <v>-303000</v>
      </c>
      <c r="AF30" s="880">
        <f t="shared" si="4"/>
        <v>0</v>
      </c>
      <c r="AG30" s="880">
        <f>AE30+20200+282800</f>
        <v>0</v>
      </c>
      <c r="AH30" s="880">
        <f t="shared" si="5"/>
        <v>0</v>
      </c>
      <c r="AI30" s="878">
        <f>'[2]2021. előirányzat'!G30</f>
        <v>0</v>
      </c>
      <c r="AJ30" s="878">
        <f>'[2]2022. előirányzat'!G30</f>
        <v>0</v>
      </c>
      <c r="AK30" s="878">
        <f>'[2]2023. előirányzat'!G30</f>
        <v>0</v>
      </c>
      <c r="AL30" s="878">
        <f>'[2]2024. előirányzat'!G30</f>
        <v>0</v>
      </c>
      <c r="AM30" s="881">
        <f t="shared" si="6"/>
        <v>0</v>
      </c>
      <c r="AN30" s="881">
        <f t="shared" si="7"/>
        <v>0</v>
      </c>
      <c r="AO30" s="881">
        <f t="shared" si="8"/>
        <v>0</v>
      </c>
      <c r="AP30" s="881">
        <f t="shared" si="9"/>
        <v>0</v>
      </c>
      <c r="AQ30" s="882"/>
      <c r="AR30" s="883"/>
      <c r="AS30" s="884"/>
      <c r="AT30" s="882"/>
      <c r="AU30" s="882" t="s">
        <v>781</v>
      </c>
    </row>
    <row r="31" spans="1:49" ht="30" x14ac:dyDescent="0.25">
      <c r="A31" s="754" t="s">
        <v>443</v>
      </c>
      <c r="B31" s="757" t="str">
        <f>[1]előirányzat!B30</f>
        <v>Felsőmarác Község Önkormányzata</v>
      </c>
      <c r="C31" s="755">
        <v>283</v>
      </c>
      <c r="D31" s="878">
        <f>'[2]2009. évi előirányzat'!M31</f>
        <v>0</v>
      </c>
      <c r="E31" s="878">
        <f>'[2]2009. évi előirányzat'!N31</f>
        <v>0</v>
      </c>
      <c r="F31" s="878">
        <f>'[2]2009. évi előirányzat'!O31</f>
        <v>0</v>
      </c>
      <c r="G31" s="878">
        <f>'[2]2010. évi előirányzat'!J31</f>
        <v>0</v>
      </c>
      <c r="H31" s="878">
        <f>'[2]2010. évi előirányzat'!K31</f>
        <v>0</v>
      </c>
      <c r="I31" s="878">
        <f>'[2]2011. évi előirányzat'!J31</f>
        <v>0</v>
      </c>
      <c r="J31" s="878">
        <f>'[2]2011. évi előirányzat'!K31</f>
        <v>0</v>
      </c>
      <c r="K31" s="878">
        <f>'[2]2012. évi előirányzat'!J31</f>
        <v>0</v>
      </c>
      <c r="L31" s="878">
        <f>'[2]2012. évi előirányzat'!K31</f>
        <v>0</v>
      </c>
      <c r="M31" s="878">
        <f>'[2]2013. előirányzat'!J31</f>
        <v>0</v>
      </c>
      <c r="N31" s="878">
        <f>'[2]2013. előirányzat'!K31</f>
        <v>0</v>
      </c>
      <c r="O31" s="878">
        <f>'[2]2014. évi előirányzat'!J31</f>
        <v>0</v>
      </c>
      <c r="P31" s="878">
        <f>'[2]2014. évi előirányzat'!K31</f>
        <v>0</v>
      </c>
      <c r="Q31" s="878">
        <f>'[2]2015. évi előirányzat'!J31</f>
        <v>0</v>
      </c>
      <c r="R31" s="878">
        <f>'[2]2015. évi előirányzat'!K31</f>
        <v>0</v>
      </c>
      <c r="S31" s="878">
        <f>'[2]2016 előirányzat'!J31</f>
        <v>0</v>
      </c>
      <c r="T31" s="878">
        <f>'[2]2016 előirányzat'!K31</f>
        <v>0</v>
      </c>
      <c r="U31" s="878">
        <f>'[2]2017. előirányzat'!J31</f>
        <v>0</v>
      </c>
      <c r="V31" s="878">
        <f>'[2]2017. előirányzat'!K31</f>
        <v>-141500</v>
      </c>
      <c r="W31" s="878">
        <f>'[2]2018. előirányzat'!J31</f>
        <v>0</v>
      </c>
      <c r="X31" s="878">
        <f>'[2]2018. előirányzat'!K31</f>
        <v>-141500</v>
      </c>
      <c r="Y31" s="878">
        <f>'[2]2019. előirányzat'!J31</f>
        <v>0</v>
      </c>
      <c r="Z31" s="878">
        <f>'[2]2019. előirányzat'!K31</f>
        <v>0</v>
      </c>
      <c r="AA31" s="878">
        <f>'[2]2020. előirányzat'!G31</f>
        <v>0</v>
      </c>
      <c r="AB31" s="879">
        <f t="shared" si="0"/>
        <v>0</v>
      </c>
      <c r="AC31" s="879">
        <f t="shared" si="1"/>
        <v>-283000</v>
      </c>
      <c r="AD31" s="879">
        <f t="shared" si="2"/>
        <v>0</v>
      </c>
      <c r="AE31" s="879">
        <f t="shared" si="3"/>
        <v>-283000</v>
      </c>
      <c r="AF31" s="880">
        <f t="shared" si="4"/>
        <v>0</v>
      </c>
      <c r="AG31" s="880">
        <f>AE31+(2*28300)+226400</f>
        <v>0</v>
      </c>
      <c r="AH31" s="880">
        <f t="shared" si="5"/>
        <v>0</v>
      </c>
      <c r="AI31" s="878">
        <f>'[2]2021. előirányzat'!G31</f>
        <v>0</v>
      </c>
      <c r="AJ31" s="878">
        <f>'[2]2022. előirányzat'!G31</f>
        <v>0</v>
      </c>
      <c r="AK31" s="878">
        <f>'[2]2023. előirányzat'!G31</f>
        <v>0</v>
      </c>
      <c r="AL31" s="878">
        <f>'[2]2024. előirányzat'!G31</f>
        <v>0</v>
      </c>
      <c r="AM31" s="881">
        <f t="shared" si="6"/>
        <v>0</v>
      </c>
      <c r="AN31" s="881">
        <f t="shared" si="7"/>
        <v>0</v>
      </c>
      <c r="AO31" s="881">
        <f t="shared" si="8"/>
        <v>0</v>
      </c>
      <c r="AP31" s="881">
        <f t="shared" si="9"/>
        <v>0</v>
      </c>
      <c r="AQ31" s="882"/>
      <c r="AR31" s="883"/>
      <c r="AS31" s="884"/>
      <c r="AT31" s="882"/>
      <c r="AU31" s="882" t="s">
        <v>781</v>
      </c>
    </row>
    <row r="32" spans="1:49" ht="30" x14ac:dyDescent="0.25">
      <c r="A32" s="885" t="s">
        <v>444</v>
      </c>
      <c r="B32" s="757" t="str">
        <f>[1]előirányzat!B31</f>
        <v>Gasztony Község Önkormányzata</v>
      </c>
      <c r="C32" s="755">
        <v>457</v>
      </c>
      <c r="D32" s="878">
        <f>'[2]2009. évi előirányzat'!M32</f>
        <v>0</v>
      </c>
      <c r="E32" s="878">
        <f>'[2]2009. évi előirányzat'!N32</f>
        <v>0</v>
      </c>
      <c r="F32" s="878">
        <f>'[2]2009. évi előirányzat'!O32</f>
        <v>0</v>
      </c>
      <c r="G32" s="878">
        <f>'[2]2010. évi előirányzat'!J32</f>
        <v>0</v>
      </c>
      <c r="H32" s="878">
        <f>'[2]2010. évi előirányzat'!K32</f>
        <v>0</v>
      </c>
      <c r="I32" s="878">
        <f>'[2]2011. évi előirányzat'!J32</f>
        <v>0</v>
      </c>
      <c r="J32" s="878">
        <f>'[2]2011. évi előirányzat'!K32</f>
        <v>0</v>
      </c>
      <c r="K32" s="878">
        <f>'[2]2012. évi előirányzat'!J32</f>
        <v>0</v>
      </c>
      <c r="L32" s="878">
        <f>'[2]2012. évi előirányzat'!K32</f>
        <v>0</v>
      </c>
      <c r="M32" s="878">
        <f>'[2]2013. előirányzat'!J32</f>
        <v>0</v>
      </c>
      <c r="N32" s="878">
        <f>'[2]2013. előirányzat'!K32</f>
        <v>0</v>
      </c>
      <c r="O32" s="878">
        <f>'[2]2014. évi előirányzat'!J32</f>
        <v>0</v>
      </c>
      <c r="P32" s="878">
        <f>'[2]2014. évi előirányzat'!K32</f>
        <v>0</v>
      </c>
      <c r="Q32" s="878">
        <f>'[2]2015. évi előirányzat'!J32</f>
        <v>0</v>
      </c>
      <c r="R32" s="878">
        <f>'[2]2015. évi előirányzat'!K32</f>
        <v>0</v>
      </c>
      <c r="S32" s="878">
        <f>'[2]2016 előirányzat'!J32</f>
        <v>0</v>
      </c>
      <c r="T32" s="878">
        <f>'[2]2016 előirányzat'!K32</f>
        <v>0</v>
      </c>
      <c r="U32" s="878">
        <f>'[2]2017. előirányzat'!J32</f>
        <v>0</v>
      </c>
      <c r="V32" s="878">
        <f>'[2]2017. előirányzat'!K32</f>
        <v>0</v>
      </c>
      <c r="W32" s="878">
        <f>'[2]2018. előirányzat'!J32</f>
        <v>0</v>
      </c>
      <c r="X32" s="878">
        <f>'[2]2018. előirányzat'!K32</f>
        <v>0</v>
      </c>
      <c r="Y32" s="878">
        <f>'[2]2019. előirányzat'!J32</f>
        <v>0</v>
      </c>
      <c r="Z32" s="878">
        <f>'[2]2019. előirányzat'!K32</f>
        <v>0</v>
      </c>
      <c r="AA32" s="878">
        <f>'[2]2020. előirányzat'!G32</f>
        <v>0</v>
      </c>
      <c r="AB32" s="879">
        <f t="shared" si="0"/>
        <v>0</v>
      </c>
      <c r="AC32" s="879">
        <f t="shared" si="1"/>
        <v>0</v>
      </c>
      <c r="AD32" s="879">
        <f t="shared" si="2"/>
        <v>0</v>
      </c>
      <c r="AE32" s="879">
        <f t="shared" si="3"/>
        <v>0</v>
      </c>
      <c r="AF32" s="880">
        <f t="shared" si="4"/>
        <v>0</v>
      </c>
      <c r="AG32" s="880">
        <f>AC32</f>
        <v>0</v>
      </c>
      <c r="AH32" s="880">
        <f t="shared" si="5"/>
        <v>0</v>
      </c>
      <c r="AI32" s="878">
        <f>'[2]2021. előirányzat'!G32</f>
        <v>0</v>
      </c>
      <c r="AJ32" s="878">
        <f>'[2]2022. előirányzat'!G32</f>
        <v>0</v>
      </c>
      <c r="AK32" s="878">
        <f>'[2]2023. előirányzat'!G32</f>
        <v>0</v>
      </c>
      <c r="AL32" s="878">
        <f>'[2]2024. előirányzat'!G32</f>
        <v>0</v>
      </c>
      <c r="AM32" s="881">
        <f t="shared" si="6"/>
        <v>0</v>
      </c>
      <c r="AN32" s="881">
        <f t="shared" si="7"/>
        <v>0</v>
      </c>
      <c r="AO32" s="881">
        <f t="shared" si="8"/>
        <v>0</v>
      </c>
      <c r="AP32" s="881">
        <f t="shared" si="9"/>
        <v>0</v>
      </c>
      <c r="AQ32" s="888"/>
      <c r="AR32" s="883"/>
      <c r="AS32" s="884"/>
      <c r="AT32" s="882"/>
      <c r="AU32" s="882" t="s">
        <v>787</v>
      </c>
    </row>
    <row r="33" spans="1:47" ht="30" x14ac:dyDescent="0.25">
      <c r="A33" s="885" t="s">
        <v>445</v>
      </c>
      <c r="B33" s="755" t="str">
        <f>[1]előirányzat!B32</f>
        <v>Gencsapáti Község Önkormányzata</v>
      </c>
      <c r="C33" s="755">
        <v>2715</v>
      </c>
      <c r="D33" s="878">
        <f>'[2]2009. évi előirányzat'!M33</f>
        <v>0</v>
      </c>
      <c r="E33" s="878">
        <f>'[2]2009. évi előirányzat'!N33</f>
        <v>0</v>
      </c>
      <c r="F33" s="878">
        <f>'[2]2009. évi előirányzat'!O33</f>
        <v>0</v>
      </c>
      <c r="G33" s="878">
        <f>'[2]2010. évi előirányzat'!J33</f>
        <v>0</v>
      </c>
      <c r="H33" s="878">
        <f>'[2]2010. évi előirányzat'!K33</f>
        <v>0</v>
      </c>
      <c r="I33" s="878">
        <f>'[2]2011. évi előirányzat'!J33</f>
        <v>0</v>
      </c>
      <c r="J33" s="878">
        <f>'[2]2011. évi előirányzat'!K33</f>
        <v>0</v>
      </c>
      <c r="K33" s="878">
        <f>'[2]2012. évi előirányzat'!J33</f>
        <v>0</v>
      </c>
      <c r="L33" s="878">
        <f>'[2]2012. évi előirányzat'!K33</f>
        <v>0</v>
      </c>
      <c r="M33" s="878">
        <f>'[2]2013. előirányzat'!J33</f>
        <v>0</v>
      </c>
      <c r="N33" s="878">
        <f>'[2]2013. előirányzat'!K33</f>
        <v>0</v>
      </c>
      <c r="O33" s="878">
        <f>'[2]2014. évi előirányzat'!J33</f>
        <v>0</v>
      </c>
      <c r="P33" s="878">
        <f>'[2]2014. évi előirányzat'!K33</f>
        <v>0</v>
      </c>
      <c r="Q33" s="878">
        <f>'[2]2015. évi előirányzat'!J33</f>
        <v>0</v>
      </c>
      <c r="R33" s="878">
        <f>'[2]2015. évi előirányzat'!K33</f>
        <v>597300</v>
      </c>
      <c r="S33" s="878">
        <f>'[2]2016 előirányzat'!J33</f>
        <v>271500</v>
      </c>
      <c r="T33" s="878">
        <f>'[2]2016 előirányzat'!K33</f>
        <v>1357500</v>
      </c>
      <c r="U33" s="878">
        <f>'[2]2017. előirányzat'!J33</f>
        <v>271500</v>
      </c>
      <c r="V33" s="878">
        <f>'[2]2017. előirányzat'!K33</f>
        <v>1357500</v>
      </c>
      <c r="W33" s="878">
        <f>'[2]2018. előirányzat'!J33</f>
        <v>271500</v>
      </c>
      <c r="X33" s="878">
        <f>'[2]2018. előirányzat'!K33</f>
        <v>1357500</v>
      </c>
      <c r="Y33" s="878">
        <f>'[2]2019. előirányzat'!J33</f>
        <v>271500</v>
      </c>
      <c r="Z33" s="878">
        <f>'[2]2019. előirányzat'!K33</f>
        <v>1357500</v>
      </c>
      <c r="AA33" s="878">
        <f>'[2]2020. előirányzat'!G33</f>
        <v>271500</v>
      </c>
      <c r="AB33" s="879">
        <f t="shared" si="0"/>
        <v>1357500</v>
      </c>
      <c r="AC33" s="879">
        <f t="shared" si="1"/>
        <v>6027300</v>
      </c>
      <c r="AD33" s="879">
        <f t="shared" si="2"/>
        <v>0</v>
      </c>
      <c r="AE33" s="879">
        <f t="shared" si="3"/>
        <v>7384800</v>
      </c>
      <c r="AF33" s="880">
        <f t="shared" si="4"/>
        <v>1357500</v>
      </c>
      <c r="AG33" s="880">
        <f>AC33</f>
        <v>6027300</v>
      </c>
      <c r="AH33" s="880">
        <f t="shared" si="5"/>
        <v>7384800</v>
      </c>
      <c r="AI33" s="878">
        <f>'[2]2021. előirányzat'!G33</f>
        <v>271500</v>
      </c>
      <c r="AJ33" s="878">
        <f>'[2]2022. előirányzat'!G33</f>
        <v>271500</v>
      </c>
      <c r="AK33" s="878">
        <f>'[2]2023. előirányzat'!G33</f>
        <v>271500</v>
      </c>
      <c r="AL33" s="878">
        <f>'[2]2024. előirányzat'!G33</f>
        <v>0</v>
      </c>
      <c r="AM33" s="881">
        <f t="shared" si="6"/>
        <v>2172000</v>
      </c>
      <c r="AN33" s="881">
        <f t="shared" si="7"/>
        <v>6027300</v>
      </c>
      <c r="AO33" s="881">
        <f t="shared" si="8"/>
        <v>0</v>
      </c>
      <c r="AP33" s="881">
        <f t="shared" si="9"/>
        <v>8199300</v>
      </c>
      <c r="AQ33" s="882"/>
      <c r="AR33" s="883">
        <f>V33+X33+Z33</f>
        <v>4072500</v>
      </c>
      <c r="AS33" s="884">
        <f>AP33-AR33</f>
        <v>4126800</v>
      </c>
      <c r="AT33" s="882"/>
      <c r="AU33" s="882" t="s">
        <v>788</v>
      </c>
    </row>
    <row r="34" spans="1:47" ht="30" x14ac:dyDescent="0.25">
      <c r="A34" s="754" t="s">
        <v>446</v>
      </c>
      <c r="B34" s="757" t="str">
        <f>[1]előirányzat!B33</f>
        <v>Gersekarát Község Önkormányzata</v>
      </c>
      <c r="C34" s="755">
        <v>709</v>
      </c>
      <c r="D34" s="878">
        <f>'[2]2009. évi előirányzat'!M34</f>
        <v>0</v>
      </c>
      <c r="E34" s="878">
        <f>'[2]2009. évi előirányzat'!N34</f>
        <v>0</v>
      </c>
      <c r="F34" s="878">
        <f>'[2]2009. évi előirányzat'!O34</f>
        <v>0</v>
      </c>
      <c r="G34" s="878">
        <f>'[2]2010. évi előirányzat'!J34</f>
        <v>0</v>
      </c>
      <c r="H34" s="878">
        <f>'[2]2010. évi előirányzat'!K34</f>
        <v>0</v>
      </c>
      <c r="I34" s="878">
        <f>'[2]2011. évi előirányzat'!J34</f>
        <v>0</v>
      </c>
      <c r="J34" s="878">
        <f>'[2]2011. évi előirányzat'!K34</f>
        <v>0</v>
      </c>
      <c r="K34" s="878">
        <f>'[2]2012. évi előirányzat'!J34</f>
        <v>0</v>
      </c>
      <c r="L34" s="878">
        <f>'[2]2012. évi előirányzat'!K34</f>
        <v>0</v>
      </c>
      <c r="M34" s="878">
        <f>'[2]2013. előirányzat'!J34</f>
        <v>0</v>
      </c>
      <c r="N34" s="878">
        <f>'[2]2013. előirányzat'!K34</f>
        <v>0</v>
      </c>
      <c r="O34" s="878">
        <f>'[2]2014. évi előirányzat'!J34</f>
        <v>0</v>
      </c>
      <c r="P34" s="878">
        <f>'[2]2014. évi előirányzat'!K34</f>
        <v>0</v>
      </c>
      <c r="Q34" s="878">
        <f>'[2]2015. évi előirányzat'!J34</f>
        <v>0</v>
      </c>
      <c r="R34" s="878">
        <f>'[2]2015. évi előirányzat'!K34</f>
        <v>0</v>
      </c>
      <c r="S34" s="878">
        <f>'[2]2016 előirányzat'!J34</f>
        <v>0</v>
      </c>
      <c r="T34" s="878">
        <f>'[2]2016 előirányzat'!K34</f>
        <v>0</v>
      </c>
      <c r="U34" s="878">
        <f>'[2]2017. előirányzat'!J34</f>
        <v>0</v>
      </c>
      <c r="V34" s="878">
        <f>'[2]2017. előirányzat'!K34</f>
        <v>-354500</v>
      </c>
      <c r="W34" s="878">
        <f>'[2]2018. előirányzat'!J34</f>
        <v>0</v>
      </c>
      <c r="X34" s="878">
        <f>'[2]2018. előirányzat'!K34</f>
        <v>0</v>
      </c>
      <c r="Y34" s="878">
        <f>'[2]2019. előirányzat'!J34</f>
        <v>0</v>
      </c>
      <c r="Z34" s="878">
        <f>'[2]2019. előirányzat'!K34</f>
        <v>0</v>
      </c>
      <c r="AA34" s="878">
        <f>'[2]2020. előirányzat'!G34</f>
        <v>0</v>
      </c>
      <c r="AB34" s="879">
        <f t="shared" si="0"/>
        <v>0</v>
      </c>
      <c r="AC34" s="879">
        <f t="shared" si="1"/>
        <v>-354500</v>
      </c>
      <c r="AD34" s="879">
        <f t="shared" si="2"/>
        <v>0</v>
      </c>
      <c r="AE34" s="879">
        <f t="shared" si="3"/>
        <v>-354500</v>
      </c>
      <c r="AF34" s="880">
        <f t="shared" si="4"/>
        <v>0</v>
      </c>
      <c r="AG34" s="880">
        <f>AE34+(3400+70900)+280200</f>
        <v>0</v>
      </c>
      <c r="AH34" s="880">
        <f t="shared" si="5"/>
        <v>0</v>
      </c>
      <c r="AI34" s="878">
        <f>'[2]2021. előirányzat'!G34</f>
        <v>0</v>
      </c>
      <c r="AJ34" s="878">
        <f>'[2]2022. előirányzat'!G34</f>
        <v>0</v>
      </c>
      <c r="AK34" s="878">
        <f>'[2]2023. előirányzat'!G34</f>
        <v>0</v>
      </c>
      <c r="AL34" s="878">
        <f>'[2]2024. előirányzat'!G34</f>
        <v>0</v>
      </c>
      <c r="AM34" s="881">
        <f t="shared" si="6"/>
        <v>0</v>
      </c>
      <c r="AN34" s="881">
        <f t="shared" si="7"/>
        <v>0</v>
      </c>
      <c r="AO34" s="881">
        <f t="shared" si="8"/>
        <v>0</v>
      </c>
      <c r="AP34" s="881">
        <f t="shared" si="9"/>
        <v>0</v>
      </c>
      <c r="AQ34" s="882"/>
      <c r="AR34" s="883"/>
      <c r="AS34" s="884"/>
      <c r="AT34" s="882"/>
      <c r="AU34" s="882" t="s">
        <v>780</v>
      </c>
    </row>
    <row r="35" spans="1:47" ht="30.75" customHeight="1" x14ac:dyDescent="0.25">
      <c r="A35" s="889" t="s">
        <v>447</v>
      </c>
      <c r="B35" s="759" t="str">
        <f>[1]előirányzat!B34</f>
        <v>Gyanógeregye Község Önkormányzata</v>
      </c>
      <c r="C35" s="755">
        <v>175</v>
      </c>
      <c r="D35" s="878">
        <f>'[2]2009. évi előirányzat'!M35</f>
        <v>0</v>
      </c>
      <c r="E35" s="878">
        <f>'[2]2009. évi előirányzat'!N35</f>
        <v>0</v>
      </c>
      <c r="F35" s="878">
        <f>'[2]2009. évi előirányzat'!O35</f>
        <v>0</v>
      </c>
      <c r="G35" s="878">
        <f>'[2]2010. évi előirányzat'!J35</f>
        <v>0</v>
      </c>
      <c r="H35" s="878">
        <f>'[2]2010. évi előirányzat'!K35</f>
        <v>0</v>
      </c>
      <c r="I35" s="878">
        <f>'[2]2011. évi előirányzat'!J35</f>
        <v>0</v>
      </c>
      <c r="J35" s="878">
        <f>'[2]2011. évi előirányzat'!K35</f>
        <v>0</v>
      </c>
      <c r="K35" s="878">
        <f>'[2]2012. évi előirányzat'!J35</f>
        <v>0</v>
      </c>
      <c r="L35" s="878">
        <f>'[2]2012. évi előirányzat'!K35</f>
        <v>0</v>
      </c>
      <c r="M35" s="878">
        <f>'[2]2013. előirányzat'!J35</f>
        <v>0</v>
      </c>
      <c r="N35" s="878">
        <f>'[2]2013. előirányzat'!K35</f>
        <v>0</v>
      </c>
      <c r="O35" s="878">
        <f>'[2]2014. évi előirányzat'!J35</f>
        <v>0</v>
      </c>
      <c r="P35" s="878">
        <f>'[2]2014. évi előirányzat'!K35</f>
        <v>0</v>
      </c>
      <c r="Q35" s="878">
        <f>'[2]2015. évi előirányzat'!J35</f>
        <v>0</v>
      </c>
      <c r="R35" s="878">
        <f>'[2]2015. évi előirányzat'!K35</f>
        <v>0</v>
      </c>
      <c r="S35" s="878">
        <f>'[2]2016 előirányzat'!J35</f>
        <v>0</v>
      </c>
      <c r="T35" s="878">
        <f>'[2]2016 előirányzat'!K35</f>
        <v>0</v>
      </c>
      <c r="U35" s="878">
        <f>'[2]2017. előirányzat'!J35</f>
        <v>0</v>
      </c>
      <c r="V35" s="878">
        <f>'[2]2017. előirányzat'!K35</f>
        <v>0</v>
      </c>
      <c r="W35" s="878">
        <f>'[2]2018. előirányzat'!J35</f>
        <v>0</v>
      </c>
      <c r="X35" s="878">
        <f>'[2]2018. előirányzat'!K35</f>
        <v>0</v>
      </c>
      <c r="Y35" s="878">
        <f>'[2]2019. előirányzat'!J35</f>
        <v>0</v>
      </c>
      <c r="Z35" s="878">
        <f>'[2]2019. előirányzat'!K35</f>
        <v>0</v>
      </c>
      <c r="AA35" s="878">
        <f>'[2]2020. előirányzat'!G35</f>
        <v>0</v>
      </c>
      <c r="AB35" s="879">
        <f t="shared" si="0"/>
        <v>0</v>
      </c>
      <c r="AC35" s="879">
        <f t="shared" si="1"/>
        <v>0</v>
      </c>
      <c r="AD35" s="879">
        <f t="shared" si="2"/>
        <v>0</v>
      </c>
      <c r="AE35" s="879">
        <f t="shared" si="3"/>
        <v>0</v>
      </c>
      <c r="AF35" s="880">
        <f t="shared" si="4"/>
        <v>0</v>
      </c>
      <c r="AG35" s="880">
        <f>AC35</f>
        <v>0</v>
      </c>
      <c r="AH35" s="880">
        <f t="shared" si="5"/>
        <v>0</v>
      </c>
      <c r="AI35" s="878">
        <f>'[2]2021. előirányzat'!G35</f>
        <v>0</v>
      </c>
      <c r="AJ35" s="878">
        <f>'[2]2022. előirányzat'!G35</f>
        <v>0</v>
      </c>
      <c r="AK35" s="878">
        <f>'[2]2023. előirányzat'!G35</f>
        <v>0</v>
      </c>
      <c r="AL35" s="878">
        <f>'[2]2024. előirányzat'!G35</f>
        <v>0</v>
      </c>
      <c r="AM35" s="881">
        <f t="shared" si="6"/>
        <v>0</v>
      </c>
      <c r="AN35" s="881">
        <f t="shared" si="7"/>
        <v>0</v>
      </c>
      <c r="AO35" s="881">
        <f t="shared" si="8"/>
        <v>0</v>
      </c>
      <c r="AP35" s="881">
        <f t="shared" si="9"/>
        <v>0</v>
      </c>
      <c r="AQ35" s="888" t="s">
        <v>754</v>
      </c>
      <c r="AR35" s="883">
        <f>V35+X35+Z35</f>
        <v>0</v>
      </c>
      <c r="AS35" s="884">
        <f>AP35-AR35</f>
        <v>0</v>
      </c>
      <c r="AT35" s="882"/>
      <c r="AU35" s="882" t="s">
        <v>788</v>
      </c>
    </row>
    <row r="36" spans="1:47" ht="30" x14ac:dyDescent="0.25">
      <c r="A36" s="885" t="s">
        <v>448</v>
      </c>
      <c r="B36" s="757" t="str">
        <f>[1]előirányzat!B35</f>
        <v>Gyöngyösfalu Község Önkormányzata</v>
      </c>
      <c r="C36" s="755">
        <v>1154</v>
      </c>
      <c r="D36" s="878">
        <f>'[2]2009. évi előirányzat'!M36</f>
        <v>0</v>
      </c>
      <c r="E36" s="878">
        <f>'[2]2009. évi előirányzat'!N36</f>
        <v>0</v>
      </c>
      <c r="F36" s="878">
        <f>'[2]2009. évi előirányzat'!O36</f>
        <v>0</v>
      </c>
      <c r="G36" s="878">
        <f>'[2]2010. évi előirányzat'!J36</f>
        <v>0</v>
      </c>
      <c r="H36" s="878">
        <f>'[2]2010. évi előirányzat'!K36</f>
        <v>0</v>
      </c>
      <c r="I36" s="878">
        <f>'[2]2011. évi előirányzat'!J36</f>
        <v>0</v>
      </c>
      <c r="J36" s="878">
        <f>'[2]2011. évi előirányzat'!K36</f>
        <v>0</v>
      </c>
      <c r="K36" s="878">
        <f>'[2]2012. évi előirányzat'!J36</f>
        <v>0</v>
      </c>
      <c r="L36" s="878">
        <f>'[2]2012. évi előirányzat'!K36</f>
        <v>0</v>
      </c>
      <c r="M36" s="878">
        <f>'[2]2013. előirányzat'!J36</f>
        <v>0</v>
      </c>
      <c r="N36" s="878">
        <f>'[2]2013. előirányzat'!K36</f>
        <v>0</v>
      </c>
      <c r="O36" s="878">
        <f>'[2]2014. évi előirányzat'!J36</f>
        <v>0</v>
      </c>
      <c r="P36" s="878">
        <f>'[2]2014. évi előirányzat'!K36</f>
        <v>0</v>
      </c>
      <c r="Q36" s="878">
        <f>'[2]2015. évi előirányzat'!J36</f>
        <v>0</v>
      </c>
      <c r="R36" s="878">
        <f>'[2]2015. évi előirányzat'!K36</f>
        <v>0</v>
      </c>
      <c r="S36" s="878">
        <f>'[2]2016 előirányzat'!J36</f>
        <v>0</v>
      </c>
      <c r="T36" s="878">
        <f>'[2]2016 előirányzat'!K36</f>
        <v>0</v>
      </c>
      <c r="U36" s="878">
        <f>'[2]2017. előirányzat'!J36</f>
        <v>0</v>
      </c>
      <c r="V36" s="878">
        <f>'[2]2017. előirányzat'!K36</f>
        <v>0</v>
      </c>
      <c r="W36" s="878">
        <f>'[2]2018. előirányzat'!J36</f>
        <v>0</v>
      </c>
      <c r="X36" s="878">
        <f>'[2]2018. előirányzat'!K36</f>
        <v>0</v>
      </c>
      <c r="Y36" s="878">
        <f>'[2]2019. előirányzat'!J36</f>
        <v>0</v>
      </c>
      <c r="Z36" s="878">
        <f>'[2]2019. előirányzat'!K36</f>
        <v>0</v>
      </c>
      <c r="AA36" s="878">
        <f>'[2]2020. előirányzat'!G36</f>
        <v>0</v>
      </c>
      <c r="AB36" s="879">
        <f t="shared" si="0"/>
        <v>0</v>
      </c>
      <c r="AC36" s="879">
        <f t="shared" si="1"/>
        <v>0</v>
      </c>
      <c r="AD36" s="879">
        <f t="shared" si="2"/>
        <v>0</v>
      </c>
      <c r="AE36" s="879">
        <f t="shared" si="3"/>
        <v>0</v>
      </c>
      <c r="AF36" s="880">
        <f t="shared" si="4"/>
        <v>0</v>
      </c>
      <c r="AG36" s="880">
        <f>AC36</f>
        <v>0</v>
      </c>
      <c r="AH36" s="880">
        <f t="shared" si="5"/>
        <v>0</v>
      </c>
      <c r="AI36" s="878">
        <f>'[2]2021. előirányzat'!G36</f>
        <v>0</v>
      </c>
      <c r="AJ36" s="878">
        <f>'[2]2022. előirányzat'!G36</f>
        <v>0</v>
      </c>
      <c r="AK36" s="878">
        <f>'[2]2023. előirányzat'!G36</f>
        <v>0</v>
      </c>
      <c r="AL36" s="878">
        <f>'[2]2024. előirányzat'!G36</f>
        <v>0</v>
      </c>
      <c r="AM36" s="881">
        <f t="shared" si="6"/>
        <v>0</v>
      </c>
      <c r="AN36" s="881">
        <f t="shared" si="7"/>
        <v>0</v>
      </c>
      <c r="AO36" s="881">
        <f t="shared" si="8"/>
        <v>0</v>
      </c>
      <c r="AP36" s="881">
        <f t="shared" si="9"/>
        <v>0</v>
      </c>
      <c r="AQ36" s="882"/>
      <c r="AR36" s="883"/>
      <c r="AS36" s="884"/>
      <c r="AT36" s="882"/>
      <c r="AU36" s="882" t="s">
        <v>784</v>
      </c>
    </row>
    <row r="37" spans="1:47" ht="30" x14ac:dyDescent="0.25">
      <c r="A37" s="754" t="s">
        <v>449</v>
      </c>
      <c r="B37" s="757" t="str">
        <f>[1]előirányzat!B36</f>
        <v>Halastó Község Önkormányzata</v>
      </c>
      <c r="C37" s="755">
        <v>113</v>
      </c>
      <c r="D37" s="878">
        <f>'[2]2009. évi előirányzat'!M37</f>
        <v>0</v>
      </c>
      <c r="E37" s="878">
        <f>'[2]2009. évi előirányzat'!N37</f>
        <v>0</v>
      </c>
      <c r="F37" s="878">
        <f>'[2]2009. évi előirányzat'!O37</f>
        <v>0</v>
      </c>
      <c r="G37" s="878">
        <f>'[2]2010. évi előirányzat'!J37</f>
        <v>0</v>
      </c>
      <c r="H37" s="878">
        <f>'[2]2010. évi előirányzat'!K37</f>
        <v>0</v>
      </c>
      <c r="I37" s="878">
        <f>'[2]2011. évi előirányzat'!J37</f>
        <v>0</v>
      </c>
      <c r="J37" s="878">
        <f>'[2]2011. évi előirányzat'!K37</f>
        <v>0</v>
      </c>
      <c r="K37" s="878">
        <f>'[2]2012. évi előirányzat'!J37</f>
        <v>0</v>
      </c>
      <c r="L37" s="878">
        <f>'[2]2012. évi előirányzat'!K37</f>
        <v>0</v>
      </c>
      <c r="M37" s="878">
        <f>'[2]2013. előirányzat'!J37</f>
        <v>0</v>
      </c>
      <c r="N37" s="878">
        <f>'[2]2013. előirányzat'!K37</f>
        <v>0</v>
      </c>
      <c r="O37" s="878">
        <f>'[2]2014. évi előirányzat'!J37</f>
        <v>0</v>
      </c>
      <c r="P37" s="878">
        <f>'[2]2014. évi előirányzat'!K37</f>
        <v>0</v>
      </c>
      <c r="Q37" s="878">
        <f>'[2]2015. évi előirányzat'!J37</f>
        <v>0</v>
      </c>
      <c r="R37" s="878">
        <f>'[2]2015. évi előirányzat'!K37</f>
        <v>0</v>
      </c>
      <c r="S37" s="878">
        <f>'[2]2016 előirányzat'!J37</f>
        <v>0</v>
      </c>
      <c r="T37" s="878">
        <f>'[2]2016 előirányzat'!K37</f>
        <v>0</v>
      </c>
      <c r="U37" s="878">
        <f>'[2]2017. előirányzat'!J37</f>
        <v>0</v>
      </c>
      <c r="V37" s="878">
        <f>'[2]2017. előirányzat'!K37</f>
        <v>-56500</v>
      </c>
      <c r="W37" s="878">
        <f>'[2]2018. előirányzat'!J37</f>
        <v>0</v>
      </c>
      <c r="X37" s="878">
        <f>'[2]2018. előirányzat'!K37</f>
        <v>0</v>
      </c>
      <c r="Y37" s="878">
        <f>'[2]2019. előirányzat'!J37</f>
        <v>0</v>
      </c>
      <c r="Z37" s="878">
        <f>'[2]2019. előirányzat'!K37</f>
        <v>0</v>
      </c>
      <c r="AA37" s="878">
        <f>'[2]2020. előirányzat'!G37</f>
        <v>0</v>
      </c>
      <c r="AB37" s="879">
        <f t="shared" si="0"/>
        <v>0</v>
      </c>
      <c r="AC37" s="879">
        <f t="shared" si="1"/>
        <v>-56500</v>
      </c>
      <c r="AD37" s="879">
        <f t="shared" si="2"/>
        <v>0</v>
      </c>
      <c r="AE37" s="879">
        <f t="shared" si="3"/>
        <v>-56500</v>
      </c>
      <c r="AF37" s="880">
        <f t="shared" si="4"/>
        <v>0</v>
      </c>
      <c r="AG37" s="880">
        <f>AE37+(3*11300)+22600</f>
        <v>0</v>
      </c>
      <c r="AH37" s="880">
        <f t="shared" si="5"/>
        <v>0</v>
      </c>
      <c r="AI37" s="878">
        <f>'[2]2021. előirányzat'!G37</f>
        <v>0</v>
      </c>
      <c r="AJ37" s="878">
        <f>'[2]2022. előirányzat'!G37</f>
        <v>0</v>
      </c>
      <c r="AK37" s="878">
        <f>'[2]2023. előirányzat'!G37</f>
        <v>0</v>
      </c>
      <c r="AL37" s="878">
        <f>'[2]2024. előirányzat'!G37</f>
        <v>0</v>
      </c>
      <c r="AM37" s="881">
        <f t="shared" si="6"/>
        <v>0</v>
      </c>
      <c r="AN37" s="881">
        <f t="shared" si="7"/>
        <v>0</v>
      </c>
      <c r="AO37" s="881">
        <f t="shared" si="8"/>
        <v>0</v>
      </c>
      <c r="AP37" s="881">
        <f t="shared" si="9"/>
        <v>0</v>
      </c>
      <c r="AQ37" s="882"/>
      <c r="AR37" s="883"/>
      <c r="AS37" s="884"/>
      <c r="AT37" s="882"/>
      <c r="AU37" s="882" t="s">
        <v>786</v>
      </c>
    </row>
    <row r="38" spans="1:47" ht="30" x14ac:dyDescent="0.25">
      <c r="A38" s="885" t="s">
        <v>450</v>
      </c>
      <c r="B38" s="757" t="str">
        <f>[1]előirányzat!B37</f>
        <v>Halogy Község Önkormányzata</v>
      </c>
      <c r="C38" s="755">
        <v>276</v>
      </c>
      <c r="D38" s="878">
        <f>'[2]2009. évi előirányzat'!M38</f>
        <v>0</v>
      </c>
      <c r="E38" s="878">
        <f>'[2]2009. évi előirányzat'!N38</f>
        <v>0</v>
      </c>
      <c r="F38" s="878">
        <f>'[2]2009. évi előirányzat'!O38</f>
        <v>0</v>
      </c>
      <c r="G38" s="878">
        <f>'[2]2010. évi előirányzat'!J38</f>
        <v>0</v>
      </c>
      <c r="H38" s="878">
        <f>'[2]2010. évi előirányzat'!K38</f>
        <v>0</v>
      </c>
      <c r="I38" s="878">
        <f>'[2]2011. évi előirányzat'!J38</f>
        <v>0</v>
      </c>
      <c r="J38" s="878">
        <f>'[2]2011. évi előirányzat'!K38</f>
        <v>0</v>
      </c>
      <c r="K38" s="878">
        <f>'[2]2012. évi előirányzat'!J38</f>
        <v>0</v>
      </c>
      <c r="L38" s="878">
        <f>'[2]2012. évi előirányzat'!K38</f>
        <v>0</v>
      </c>
      <c r="M38" s="878">
        <f>'[2]2013. előirányzat'!J38</f>
        <v>0</v>
      </c>
      <c r="N38" s="878">
        <f>'[2]2013. előirányzat'!K38</f>
        <v>0</v>
      </c>
      <c r="O38" s="878">
        <f>'[2]2014. évi előirányzat'!J38</f>
        <v>0</v>
      </c>
      <c r="P38" s="878">
        <f>'[2]2014. évi előirányzat'!K38</f>
        <v>0</v>
      </c>
      <c r="Q38" s="878">
        <f>'[2]2015. évi előirányzat'!J38</f>
        <v>0</v>
      </c>
      <c r="R38" s="878">
        <f>'[2]2015. évi előirányzat'!K38</f>
        <v>0</v>
      </c>
      <c r="S38" s="878">
        <f>'[2]2016 előirányzat'!J38</f>
        <v>0</v>
      </c>
      <c r="T38" s="878">
        <f>'[2]2016 előirányzat'!K38</f>
        <v>0</v>
      </c>
      <c r="U38" s="878">
        <f>'[2]2017. előirányzat'!J38</f>
        <v>0</v>
      </c>
      <c r="V38" s="878">
        <f>'[2]2017. előirányzat'!K38</f>
        <v>-138000</v>
      </c>
      <c r="W38" s="878">
        <f>'[2]2018. előirányzat'!J38</f>
        <v>0</v>
      </c>
      <c r="X38" s="878">
        <f>'[2]2018. előirányzat'!K38</f>
        <v>0</v>
      </c>
      <c r="Y38" s="878">
        <f>'[2]2019. előirányzat'!J38</f>
        <v>0</v>
      </c>
      <c r="Z38" s="878">
        <f>'[2]2019. előirányzat'!K38</f>
        <v>0</v>
      </c>
      <c r="AA38" s="878">
        <f>'[2]2020. előirányzat'!G38</f>
        <v>0</v>
      </c>
      <c r="AB38" s="879">
        <f t="shared" si="0"/>
        <v>0</v>
      </c>
      <c r="AC38" s="879">
        <f t="shared" si="1"/>
        <v>-138000</v>
      </c>
      <c r="AD38" s="879">
        <f t="shared" si="2"/>
        <v>0</v>
      </c>
      <c r="AE38" s="879">
        <f t="shared" si="3"/>
        <v>-138000</v>
      </c>
      <c r="AF38" s="880">
        <f t="shared" si="4"/>
        <v>0</v>
      </c>
      <c r="AG38" s="880">
        <f>AE38+(2*27600)+82800</f>
        <v>0</v>
      </c>
      <c r="AH38" s="880">
        <f t="shared" si="5"/>
        <v>0</v>
      </c>
      <c r="AI38" s="878">
        <f>'[2]2021. előirányzat'!G38</f>
        <v>0</v>
      </c>
      <c r="AJ38" s="878">
        <f>'[2]2022. előirányzat'!G38</f>
        <v>0</v>
      </c>
      <c r="AK38" s="878">
        <f>'[2]2023. előirányzat'!G38</f>
        <v>0</v>
      </c>
      <c r="AL38" s="878">
        <f>'[2]2024. előirányzat'!G38</f>
        <v>0</v>
      </c>
      <c r="AM38" s="881">
        <f t="shared" si="6"/>
        <v>0</v>
      </c>
      <c r="AN38" s="881">
        <f t="shared" si="7"/>
        <v>0</v>
      </c>
      <c r="AO38" s="881">
        <f t="shared" si="8"/>
        <v>0</v>
      </c>
      <c r="AP38" s="881">
        <f t="shared" si="9"/>
        <v>0</v>
      </c>
      <c r="AQ38" s="882"/>
      <c r="AR38" s="883"/>
      <c r="AS38" s="884"/>
      <c r="AT38" s="882"/>
      <c r="AU38" s="882" t="s">
        <v>786</v>
      </c>
    </row>
    <row r="39" spans="1:47" ht="30" x14ac:dyDescent="0.25">
      <c r="A39" s="885" t="s">
        <v>451</v>
      </c>
      <c r="B39" s="757" t="str">
        <f>[1]előirányzat!B38</f>
        <v>Harsztifalu Község Önkormányzata</v>
      </c>
      <c r="C39" s="755">
        <v>174</v>
      </c>
      <c r="D39" s="878">
        <f>'[2]2009. évi előirányzat'!M39</f>
        <v>0</v>
      </c>
      <c r="E39" s="878">
        <f>'[2]2009. évi előirányzat'!N39</f>
        <v>0</v>
      </c>
      <c r="F39" s="878">
        <f>'[2]2009. évi előirányzat'!O39</f>
        <v>0</v>
      </c>
      <c r="G39" s="878">
        <f>'[2]2010. évi előirányzat'!J39</f>
        <v>0</v>
      </c>
      <c r="H39" s="878">
        <f>'[2]2010. évi előirányzat'!K39</f>
        <v>0</v>
      </c>
      <c r="I39" s="878">
        <f>'[2]2011. évi előirányzat'!J39</f>
        <v>0</v>
      </c>
      <c r="J39" s="878">
        <f>'[2]2011. évi előirányzat'!K39</f>
        <v>0</v>
      </c>
      <c r="K39" s="878">
        <f>'[2]2012. évi előirányzat'!J39</f>
        <v>0</v>
      </c>
      <c r="L39" s="878">
        <f>'[2]2012. évi előirányzat'!K39</f>
        <v>0</v>
      </c>
      <c r="M39" s="878">
        <f>'[2]2013. előirányzat'!J39</f>
        <v>0</v>
      </c>
      <c r="N39" s="878">
        <f>'[2]2013. előirányzat'!K39</f>
        <v>0</v>
      </c>
      <c r="O39" s="878">
        <f>'[2]2014. évi előirányzat'!J39</f>
        <v>0</v>
      </c>
      <c r="P39" s="878">
        <f>'[2]2014. évi előirányzat'!K39</f>
        <v>0</v>
      </c>
      <c r="Q39" s="878">
        <f>'[2]2015. évi előirányzat'!J39</f>
        <v>0</v>
      </c>
      <c r="R39" s="878">
        <f>'[2]2015. évi előirányzat'!K39</f>
        <v>0</v>
      </c>
      <c r="S39" s="878">
        <f>'[2]2016 előirányzat'!J39</f>
        <v>0</v>
      </c>
      <c r="T39" s="878">
        <f>'[2]2016 előirányzat'!K39</f>
        <v>0</v>
      </c>
      <c r="U39" s="878">
        <f>'[2]2017. előirányzat'!J39</f>
        <v>0</v>
      </c>
      <c r="V39" s="878">
        <f>'[2]2017. előirányzat'!K39</f>
        <v>-87000</v>
      </c>
      <c r="W39" s="878">
        <f>'[2]2018. előirányzat'!J39</f>
        <v>0</v>
      </c>
      <c r="X39" s="878">
        <f>'[2]2018. előirányzat'!K39</f>
        <v>0</v>
      </c>
      <c r="Y39" s="878">
        <f>'[2]2019. előirányzat'!J39</f>
        <v>0</v>
      </c>
      <c r="Z39" s="878">
        <f>'[2]2019. előirányzat'!K39</f>
        <v>0</v>
      </c>
      <c r="AA39" s="878">
        <f>'[2]2020. előirányzat'!G39</f>
        <v>0</v>
      </c>
      <c r="AB39" s="879">
        <f t="shared" si="0"/>
        <v>0</v>
      </c>
      <c r="AC39" s="879">
        <f t="shared" si="1"/>
        <v>-87000</v>
      </c>
      <c r="AD39" s="879">
        <f t="shared" si="2"/>
        <v>0</v>
      </c>
      <c r="AE39" s="879">
        <f t="shared" si="3"/>
        <v>-87000</v>
      </c>
      <c r="AF39" s="880">
        <f t="shared" si="4"/>
        <v>0</v>
      </c>
      <c r="AG39" s="880">
        <f>AE39+(2*17400)+52200</f>
        <v>0</v>
      </c>
      <c r="AH39" s="880">
        <f t="shared" si="5"/>
        <v>0</v>
      </c>
      <c r="AI39" s="878">
        <f>'[2]2021. előirányzat'!G39</f>
        <v>0</v>
      </c>
      <c r="AJ39" s="878">
        <f>'[2]2022. előirányzat'!G39</f>
        <v>0</v>
      </c>
      <c r="AK39" s="878">
        <f>'[2]2023. előirányzat'!G39</f>
        <v>0</v>
      </c>
      <c r="AL39" s="878">
        <f>'[2]2024. előirányzat'!G39</f>
        <v>0</v>
      </c>
      <c r="AM39" s="881">
        <f t="shared" si="6"/>
        <v>0</v>
      </c>
      <c r="AN39" s="881">
        <f t="shared" si="7"/>
        <v>0</v>
      </c>
      <c r="AO39" s="881">
        <f t="shared" si="8"/>
        <v>0</v>
      </c>
      <c r="AP39" s="881">
        <f t="shared" si="9"/>
        <v>0</v>
      </c>
      <c r="AQ39" s="882"/>
      <c r="AR39" s="883"/>
      <c r="AS39" s="884"/>
      <c r="AT39" s="882"/>
      <c r="AU39" s="882" t="s">
        <v>786</v>
      </c>
    </row>
    <row r="40" spans="1:47" ht="45" x14ac:dyDescent="0.25">
      <c r="A40" s="754" t="s">
        <v>452</v>
      </c>
      <c r="B40" s="757" t="str">
        <f>[1]előirányzat!B39</f>
        <v>Hegyháthodász Község Önkormányzata</v>
      </c>
      <c r="C40" s="755">
        <v>172</v>
      </c>
      <c r="D40" s="878">
        <f>'[2]2009. évi előirányzat'!M40</f>
        <v>0</v>
      </c>
      <c r="E40" s="878">
        <f>'[2]2009. évi előirányzat'!N40</f>
        <v>0</v>
      </c>
      <c r="F40" s="878">
        <f>'[2]2009. évi előirányzat'!O40</f>
        <v>0</v>
      </c>
      <c r="G40" s="878">
        <f>'[2]2010. évi előirányzat'!J40</f>
        <v>0</v>
      </c>
      <c r="H40" s="878">
        <f>'[2]2010. évi előirányzat'!K40</f>
        <v>0</v>
      </c>
      <c r="I40" s="878">
        <f>'[2]2011. évi előirányzat'!J40</f>
        <v>0</v>
      </c>
      <c r="J40" s="878">
        <f>'[2]2011. évi előirányzat'!K40</f>
        <v>0</v>
      </c>
      <c r="K40" s="878">
        <f>'[2]2012. évi előirányzat'!J40</f>
        <v>0</v>
      </c>
      <c r="L40" s="878">
        <f>'[2]2012. évi előirányzat'!K40</f>
        <v>0</v>
      </c>
      <c r="M40" s="878">
        <f>'[2]2013. előirányzat'!J40</f>
        <v>0</v>
      </c>
      <c r="N40" s="878">
        <f>'[2]2013. előirányzat'!K40</f>
        <v>0</v>
      </c>
      <c r="O40" s="878">
        <f>'[2]2014. évi előirányzat'!J40</f>
        <v>0</v>
      </c>
      <c r="P40" s="878">
        <f>'[2]2014. évi előirányzat'!K40</f>
        <v>0</v>
      </c>
      <c r="Q40" s="878">
        <f>'[2]2015. évi előirányzat'!J40</f>
        <v>0</v>
      </c>
      <c r="R40" s="878">
        <f>'[2]2015. évi előirányzat'!K40</f>
        <v>0</v>
      </c>
      <c r="S40" s="878">
        <f>'[2]2016 előirányzat'!J40</f>
        <v>0</v>
      </c>
      <c r="T40" s="878">
        <f>'[2]2016 előirányzat'!K40</f>
        <v>0</v>
      </c>
      <c r="U40" s="878">
        <f>'[2]2017. előirányzat'!J40</f>
        <v>0</v>
      </c>
      <c r="V40" s="878">
        <f>'[2]2017. előirányzat'!K40</f>
        <v>-86000</v>
      </c>
      <c r="W40" s="878">
        <f>'[2]2018. előirányzat'!J40</f>
        <v>0</v>
      </c>
      <c r="X40" s="878">
        <f>'[2]2018. előirányzat'!K40</f>
        <v>0</v>
      </c>
      <c r="Y40" s="878">
        <f>'[2]2019. előirányzat'!J40</f>
        <v>0</v>
      </c>
      <c r="Z40" s="878">
        <f>'[2]2019. előirányzat'!K40</f>
        <v>0</v>
      </c>
      <c r="AA40" s="878">
        <f>'[2]2020. előirányzat'!G40</f>
        <v>0</v>
      </c>
      <c r="AB40" s="879">
        <f t="shared" si="0"/>
        <v>0</v>
      </c>
      <c r="AC40" s="879">
        <f t="shared" si="1"/>
        <v>-86000</v>
      </c>
      <c r="AD40" s="879">
        <f t="shared" si="2"/>
        <v>0</v>
      </c>
      <c r="AE40" s="879">
        <f t="shared" si="3"/>
        <v>-86000</v>
      </c>
      <c r="AF40" s="880">
        <f t="shared" si="4"/>
        <v>0</v>
      </c>
      <c r="AG40" s="880">
        <f>AE40+(2*17200)+51600</f>
        <v>0</v>
      </c>
      <c r="AH40" s="880">
        <f t="shared" si="5"/>
        <v>0</v>
      </c>
      <c r="AI40" s="878">
        <f>'[2]2021. előirányzat'!G40</f>
        <v>0</v>
      </c>
      <c r="AJ40" s="878">
        <f>'[2]2022. előirányzat'!G40</f>
        <v>0</v>
      </c>
      <c r="AK40" s="878">
        <f>'[2]2023. előirányzat'!G40</f>
        <v>0</v>
      </c>
      <c r="AL40" s="878">
        <f>'[2]2024. előirányzat'!G40</f>
        <v>0</v>
      </c>
      <c r="AM40" s="881">
        <f t="shared" si="6"/>
        <v>0</v>
      </c>
      <c r="AN40" s="881">
        <f t="shared" si="7"/>
        <v>0</v>
      </c>
      <c r="AO40" s="881">
        <f t="shared" si="8"/>
        <v>0</v>
      </c>
      <c r="AP40" s="881">
        <f t="shared" si="9"/>
        <v>0</v>
      </c>
      <c r="AQ40" s="882"/>
      <c r="AR40" s="883"/>
      <c r="AS40" s="884"/>
      <c r="AT40" s="882"/>
      <c r="AU40" s="882" t="s">
        <v>786</v>
      </c>
    </row>
    <row r="41" spans="1:47" ht="30" x14ac:dyDescent="0.25">
      <c r="A41" s="885" t="s">
        <v>453</v>
      </c>
      <c r="B41" s="757" t="str">
        <f>[1]előirányzat!B40</f>
        <v>Hegyhátsál Község Önkormányzata</v>
      </c>
      <c r="C41" s="755">
        <v>160</v>
      </c>
      <c r="D41" s="878">
        <f>'[2]2009. évi előirányzat'!M41</f>
        <v>0</v>
      </c>
      <c r="E41" s="878">
        <f>'[2]2009. évi előirányzat'!N41</f>
        <v>0</v>
      </c>
      <c r="F41" s="878">
        <f>'[2]2009. évi előirányzat'!O41</f>
        <v>0</v>
      </c>
      <c r="G41" s="878">
        <f>'[2]2010. évi előirányzat'!J41</f>
        <v>0</v>
      </c>
      <c r="H41" s="878">
        <f>'[2]2010. évi előirányzat'!K41</f>
        <v>0</v>
      </c>
      <c r="I41" s="878">
        <f>'[2]2011. évi előirányzat'!J41</f>
        <v>0</v>
      </c>
      <c r="J41" s="878">
        <f>'[2]2011. évi előirányzat'!K41</f>
        <v>0</v>
      </c>
      <c r="K41" s="878">
        <f>'[2]2012. évi előirányzat'!J41</f>
        <v>0</v>
      </c>
      <c r="L41" s="878">
        <f>'[2]2012. évi előirányzat'!K41</f>
        <v>0</v>
      </c>
      <c r="M41" s="878">
        <f>'[2]2013. előirányzat'!J41</f>
        <v>0</v>
      </c>
      <c r="N41" s="878">
        <f>'[2]2013. előirányzat'!K41</f>
        <v>0</v>
      </c>
      <c r="O41" s="878">
        <f>'[2]2014. évi előirányzat'!J41</f>
        <v>0</v>
      </c>
      <c r="P41" s="878">
        <f>'[2]2014. évi előirányzat'!K41</f>
        <v>0</v>
      </c>
      <c r="Q41" s="878">
        <f>'[2]2015. évi előirányzat'!J41</f>
        <v>0</v>
      </c>
      <c r="R41" s="878">
        <f>'[2]2015. évi előirányzat'!K41</f>
        <v>0</v>
      </c>
      <c r="S41" s="878">
        <f>'[2]2016 előirányzat'!J41</f>
        <v>0</v>
      </c>
      <c r="T41" s="878">
        <f>'[2]2016 előirányzat'!K41</f>
        <v>0</v>
      </c>
      <c r="U41" s="878">
        <f>'[2]2017. előirányzat'!J41</f>
        <v>0</v>
      </c>
      <c r="V41" s="878">
        <f>'[2]2017. előirányzat'!K41</f>
        <v>-80000</v>
      </c>
      <c r="W41" s="878">
        <f>'[2]2018. előirányzat'!J41</f>
        <v>0</v>
      </c>
      <c r="X41" s="878">
        <f>'[2]2018. előirányzat'!K41</f>
        <v>0</v>
      </c>
      <c r="Y41" s="878">
        <f>'[2]2019. előirányzat'!J41</f>
        <v>0</v>
      </c>
      <c r="Z41" s="878">
        <f>'[2]2019. előirányzat'!K41</f>
        <v>0</v>
      </c>
      <c r="AA41" s="878">
        <f>'[2]2020. előirányzat'!G41</f>
        <v>0</v>
      </c>
      <c r="AB41" s="879">
        <f t="shared" si="0"/>
        <v>0</v>
      </c>
      <c r="AC41" s="879">
        <f t="shared" si="1"/>
        <v>-80000</v>
      </c>
      <c r="AD41" s="879">
        <f t="shared" si="2"/>
        <v>0</v>
      </c>
      <c r="AE41" s="879">
        <f t="shared" si="3"/>
        <v>-80000</v>
      </c>
      <c r="AF41" s="880">
        <f t="shared" si="4"/>
        <v>0</v>
      </c>
      <c r="AG41" s="880">
        <f>AE41+(2*16000)+48000</f>
        <v>0</v>
      </c>
      <c r="AH41" s="880">
        <f t="shared" si="5"/>
        <v>0</v>
      </c>
      <c r="AI41" s="878">
        <f>'[2]2021. előirányzat'!G41</f>
        <v>0</v>
      </c>
      <c r="AJ41" s="878">
        <f>'[2]2022. előirányzat'!G41</f>
        <v>0</v>
      </c>
      <c r="AK41" s="878">
        <f>'[2]2023. előirányzat'!G41</f>
        <v>0</v>
      </c>
      <c r="AL41" s="878">
        <f>'[2]2024. előirányzat'!G41</f>
        <v>0</v>
      </c>
      <c r="AM41" s="881">
        <f t="shared" si="6"/>
        <v>0</v>
      </c>
      <c r="AN41" s="881">
        <f t="shared" si="7"/>
        <v>0</v>
      </c>
      <c r="AO41" s="881">
        <f t="shared" si="8"/>
        <v>0</v>
      </c>
      <c r="AP41" s="881">
        <f t="shared" si="9"/>
        <v>0</v>
      </c>
      <c r="AQ41" s="882"/>
      <c r="AR41" s="883"/>
      <c r="AS41" s="884"/>
      <c r="AT41" s="882"/>
      <c r="AU41" s="882" t="s">
        <v>786</v>
      </c>
    </row>
    <row r="42" spans="1:47" ht="45" x14ac:dyDescent="0.25">
      <c r="A42" s="885" t="s">
        <v>454</v>
      </c>
      <c r="B42" s="757" t="str">
        <f>[1]előirányzat!B41</f>
        <v>Hegyhátszentjakab Község Önkormányzata</v>
      </c>
      <c r="C42" s="755">
        <v>290</v>
      </c>
      <c r="D42" s="878">
        <f>'[2]2009. évi előirányzat'!M42</f>
        <v>0</v>
      </c>
      <c r="E42" s="878">
        <f>'[2]2009. évi előirányzat'!N42</f>
        <v>0</v>
      </c>
      <c r="F42" s="878">
        <f>'[2]2009. évi előirányzat'!O42</f>
        <v>0</v>
      </c>
      <c r="G42" s="878">
        <f>'[2]2010. évi előirányzat'!J42</f>
        <v>0</v>
      </c>
      <c r="H42" s="878">
        <f>'[2]2010. évi előirányzat'!K42</f>
        <v>0</v>
      </c>
      <c r="I42" s="878">
        <f>'[2]2011. évi előirányzat'!J42</f>
        <v>0</v>
      </c>
      <c r="J42" s="878">
        <f>'[2]2011. évi előirányzat'!K42</f>
        <v>0</v>
      </c>
      <c r="K42" s="878">
        <f>'[2]2012. évi előirányzat'!J42</f>
        <v>0</v>
      </c>
      <c r="L42" s="878">
        <f>'[2]2012. évi előirányzat'!K42</f>
        <v>0</v>
      </c>
      <c r="M42" s="878">
        <f>'[2]2013. előirányzat'!J42</f>
        <v>0</v>
      </c>
      <c r="N42" s="878">
        <f>'[2]2013. előirányzat'!K42</f>
        <v>0</v>
      </c>
      <c r="O42" s="878">
        <f>'[2]2014. évi előirányzat'!J42</f>
        <v>0</v>
      </c>
      <c r="P42" s="878">
        <f>'[2]2014. évi előirányzat'!K42</f>
        <v>0</v>
      </c>
      <c r="Q42" s="878">
        <f>'[2]2015. évi előirányzat'!J42</f>
        <v>0</v>
      </c>
      <c r="R42" s="878">
        <f>'[2]2015. évi előirányzat'!K42</f>
        <v>0</v>
      </c>
      <c r="S42" s="878">
        <f>'[2]2016 előirányzat'!J42</f>
        <v>0</v>
      </c>
      <c r="T42" s="878">
        <f>'[2]2016 előirányzat'!K42</f>
        <v>0</v>
      </c>
      <c r="U42" s="878">
        <f>'[2]2017. előirányzat'!J42</f>
        <v>0</v>
      </c>
      <c r="V42" s="878">
        <f>'[2]2017. előirányzat'!K42</f>
        <v>-145000</v>
      </c>
      <c r="W42" s="878">
        <f>'[2]2018. előirányzat'!J42</f>
        <v>0</v>
      </c>
      <c r="X42" s="878">
        <f>'[2]2018. előirányzat'!K42</f>
        <v>-145000</v>
      </c>
      <c r="Y42" s="878">
        <f>'[2]2019. előirányzat'!J42</f>
        <v>0</v>
      </c>
      <c r="Z42" s="878">
        <f>'[2]2019. előirányzat'!K42</f>
        <v>-145000</v>
      </c>
      <c r="AA42" s="878">
        <f>'[2]2020. előirányzat'!G42</f>
        <v>0</v>
      </c>
      <c r="AB42" s="879">
        <f t="shared" si="0"/>
        <v>0</v>
      </c>
      <c r="AC42" s="879">
        <f t="shared" si="1"/>
        <v>-435000</v>
      </c>
      <c r="AD42" s="879">
        <f t="shared" si="2"/>
        <v>0</v>
      </c>
      <c r="AE42" s="879">
        <f t="shared" si="3"/>
        <v>-435000</v>
      </c>
      <c r="AF42" s="880">
        <f t="shared" si="4"/>
        <v>0</v>
      </c>
      <c r="AG42" s="880">
        <f>AE42+29000+406000</f>
        <v>0</v>
      </c>
      <c r="AH42" s="880">
        <f t="shared" si="5"/>
        <v>0</v>
      </c>
      <c r="AI42" s="878">
        <f>'[2]2021. előirányzat'!G42</f>
        <v>0</v>
      </c>
      <c r="AJ42" s="878">
        <f>'[2]2022. előirányzat'!G42</f>
        <v>0</v>
      </c>
      <c r="AK42" s="878">
        <f>'[2]2023. előirányzat'!G42</f>
        <v>0</v>
      </c>
      <c r="AL42" s="878">
        <f>'[2]2024. előirányzat'!G42</f>
        <v>0</v>
      </c>
      <c r="AM42" s="881">
        <f t="shared" si="6"/>
        <v>0</v>
      </c>
      <c r="AN42" s="881">
        <f t="shared" si="7"/>
        <v>0</v>
      </c>
      <c r="AO42" s="881">
        <f t="shared" si="8"/>
        <v>0</v>
      </c>
      <c r="AP42" s="881">
        <f t="shared" si="9"/>
        <v>0</v>
      </c>
      <c r="AQ42" s="882"/>
      <c r="AR42" s="883"/>
      <c r="AS42" s="884"/>
      <c r="AT42" s="882"/>
      <c r="AU42" s="882" t="s">
        <v>781</v>
      </c>
    </row>
    <row r="43" spans="1:47" ht="45" x14ac:dyDescent="0.25">
      <c r="A43" s="754" t="s">
        <v>455</v>
      </c>
      <c r="B43" s="757" t="str">
        <f>[1]előirányzat!B42</f>
        <v>Hegyhátszentmárton Község Önkormányzata</v>
      </c>
      <c r="C43" s="755">
        <v>63</v>
      </c>
      <c r="D43" s="878">
        <f>'[2]2009. évi előirányzat'!M43</f>
        <v>0</v>
      </c>
      <c r="E43" s="878">
        <f>'[2]2009. évi előirányzat'!N43</f>
        <v>0</v>
      </c>
      <c r="F43" s="878">
        <f>'[2]2009. évi előirányzat'!O43</f>
        <v>0</v>
      </c>
      <c r="G43" s="878">
        <f>'[2]2010. évi előirányzat'!J43</f>
        <v>0</v>
      </c>
      <c r="H43" s="878">
        <f>'[2]2010. évi előirányzat'!K43</f>
        <v>0</v>
      </c>
      <c r="I43" s="878">
        <f>'[2]2011. évi előirányzat'!J43</f>
        <v>0</v>
      </c>
      <c r="J43" s="878">
        <f>'[2]2011. évi előirányzat'!K43</f>
        <v>0</v>
      </c>
      <c r="K43" s="878">
        <f>'[2]2012. évi előirányzat'!J43</f>
        <v>0</v>
      </c>
      <c r="L43" s="878">
        <f>'[2]2012. évi előirányzat'!K43</f>
        <v>0</v>
      </c>
      <c r="M43" s="878">
        <f>'[2]2013. előirányzat'!J43</f>
        <v>0</v>
      </c>
      <c r="N43" s="878">
        <f>'[2]2013. előirányzat'!K43</f>
        <v>0</v>
      </c>
      <c r="O43" s="878">
        <f>'[2]2014. évi előirányzat'!J43</f>
        <v>0</v>
      </c>
      <c r="P43" s="878">
        <f>'[2]2014. évi előirányzat'!K43</f>
        <v>0</v>
      </c>
      <c r="Q43" s="878">
        <f>'[2]2015. évi előirányzat'!J43</f>
        <v>0</v>
      </c>
      <c r="R43" s="878">
        <f>'[2]2015. évi előirányzat'!K43</f>
        <v>0</v>
      </c>
      <c r="S43" s="878">
        <f>'[2]2016 előirányzat'!J43</f>
        <v>0</v>
      </c>
      <c r="T43" s="878">
        <f>'[2]2016 előirányzat'!K43</f>
        <v>0</v>
      </c>
      <c r="U43" s="878">
        <f>'[2]2017. előirányzat'!J43</f>
        <v>0</v>
      </c>
      <c r="V43" s="878">
        <f>'[2]2017. előirányzat'!K43</f>
        <v>-31500</v>
      </c>
      <c r="W43" s="878">
        <f>'[2]2018. előirányzat'!J43</f>
        <v>0</v>
      </c>
      <c r="X43" s="878">
        <f>'[2]2018. előirányzat'!K43</f>
        <v>-31500</v>
      </c>
      <c r="Y43" s="878">
        <f>'[2]2019. előirányzat'!J43</f>
        <v>0</v>
      </c>
      <c r="Z43" s="878">
        <f>'[2]2019. előirányzat'!K43</f>
        <v>0</v>
      </c>
      <c r="AA43" s="878">
        <f>'[2]2020. előirányzat'!G43</f>
        <v>0</v>
      </c>
      <c r="AB43" s="879">
        <f t="shared" si="0"/>
        <v>0</v>
      </c>
      <c r="AC43" s="879">
        <f t="shared" si="1"/>
        <v>-63000</v>
      </c>
      <c r="AD43" s="879">
        <f t="shared" si="2"/>
        <v>0</v>
      </c>
      <c r="AE43" s="879">
        <f t="shared" si="3"/>
        <v>-63000</v>
      </c>
      <c r="AF43" s="880">
        <f t="shared" si="4"/>
        <v>0</v>
      </c>
      <c r="AG43" s="880">
        <f>AE43+(2*6300)+50400</f>
        <v>0</v>
      </c>
      <c r="AH43" s="880">
        <f t="shared" si="5"/>
        <v>0</v>
      </c>
      <c r="AI43" s="878">
        <f>'[2]2021. előirányzat'!G43</f>
        <v>0</v>
      </c>
      <c r="AJ43" s="878">
        <f>'[2]2022. előirányzat'!G43</f>
        <v>0</v>
      </c>
      <c r="AK43" s="878">
        <f>'[2]2023. előirányzat'!G43</f>
        <v>0</v>
      </c>
      <c r="AL43" s="878">
        <f>'[2]2024. előirányzat'!G43</f>
        <v>0</v>
      </c>
      <c r="AM43" s="881">
        <f t="shared" si="6"/>
        <v>0</v>
      </c>
      <c r="AN43" s="881">
        <f t="shared" si="7"/>
        <v>0</v>
      </c>
      <c r="AO43" s="881">
        <f t="shared" si="8"/>
        <v>0</v>
      </c>
      <c r="AP43" s="881">
        <f t="shared" si="9"/>
        <v>0</v>
      </c>
      <c r="AQ43" s="882"/>
      <c r="AR43" s="883"/>
      <c r="AS43" s="884"/>
      <c r="AT43" s="882"/>
      <c r="AU43" s="882" t="s">
        <v>781</v>
      </c>
    </row>
    <row r="44" spans="1:47" ht="45" x14ac:dyDescent="0.25">
      <c r="A44" s="885" t="s">
        <v>456</v>
      </c>
      <c r="B44" s="757" t="str">
        <f>[1]előirányzat!B43</f>
        <v>Horvátzsidány Község Önkormányzata</v>
      </c>
      <c r="C44" s="755">
        <v>789</v>
      </c>
      <c r="D44" s="878">
        <f>'[2]2009. évi előirányzat'!M44</f>
        <v>0</v>
      </c>
      <c r="E44" s="878">
        <f>'[2]2009. évi előirányzat'!N44</f>
        <v>0</v>
      </c>
      <c r="F44" s="878">
        <f>'[2]2009. évi előirányzat'!O44</f>
        <v>0</v>
      </c>
      <c r="G44" s="878">
        <f>'[2]2010. évi előirányzat'!J44</f>
        <v>0</v>
      </c>
      <c r="H44" s="878">
        <f>'[2]2010. évi előirányzat'!K44</f>
        <v>0</v>
      </c>
      <c r="I44" s="878">
        <f>'[2]2011. évi előirányzat'!J44</f>
        <v>0</v>
      </c>
      <c r="J44" s="878">
        <f>'[2]2011. évi előirányzat'!K44</f>
        <v>0</v>
      </c>
      <c r="K44" s="878">
        <f>'[2]2012. évi előirányzat'!J44</f>
        <v>0</v>
      </c>
      <c r="L44" s="878">
        <f>'[2]2012. évi előirányzat'!K44</f>
        <v>0</v>
      </c>
      <c r="M44" s="878">
        <f>'[2]2013. előirányzat'!J44</f>
        <v>0</v>
      </c>
      <c r="N44" s="878">
        <f>'[2]2013. előirányzat'!K44</f>
        <v>0</v>
      </c>
      <c r="O44" s="878">
        <f>'[2]2014. évi előirányzat'!J44</f>
        <v>0</v>
      </c>
      <c r="P44" s="878">
        <f>'[2]2014. évi előirányzat'!K44</f>
        <v>0</v>
      </c>
      <c r="Q44" s="878">
        <f>'[2]2015. évi előirányzat'!J44</f>
        <v>0</v>
      </c>
      <c r="R44" s="878">
        <f>'[2]2015. évi előirányzat'!K44</f>
        <v>0</v>
      </c>
      <c r="S44" s="878">
        <f>'[2]2016 előirányzat'!J44</f>
        <v>0</v>
      </c>
      <c r="T44" s="878">
        <f>'[2]2016 előirányzat'!K44</f>
        <v>0</v>
      </c>
      <c r="U44" s="878">
        <f>'[2]2017. előirányzat'!J44</f>
        <v>0</v>
      </c>
      <c r="V44" s="878">
        <f>'[2]2017. előirányzat'!K44</f>
        <v>0</v>
      </c>
      <c r="W44" s="878">
        <f>'[2]2018. előirányzat'!J44</f>
        <v>0</v>
      </c>
      <c r="X44" s="878">
        <f>'[2]2018. előirányzat'!K44</f>
        <v>0</v>
      </c>
      <c r="Y44" s="878">
        <f>'[2]2019. előirányzat'!J44</f>
        <v>0</v>
      </c>
      <c r="Z44" s="878">
        <f>'[2]2019. előirányzat'!K44</f>
        <v>0</v>
      </c>
      <c r="AA44" s="878">
        <f>'[2]2020. előirányzat'!G44</f>
        <v>0</v>
      </c>
      <c r="AB44" s="879">
        <f t="shared" si="0"/>
        <v>0</v>
      </c>
      <c r="AC44" s="879">
        <f t="shared" si="1"/>
        <v>0</v>
      </c>
      <c r="AD44" s="879">
        <f t="shared" si="2"/>
        <v>0</v>
      </c>
      <c r="AE44" s="879">
        <f t="shared" si="3"/>
        <v>0</v>
      </c>
      <c r="AF44" s="880">
        <f t="shared" si="4"/>
        <v>0</v>
      </c>
      <c r="AG44" s="880">
        <f>AE44</f>
        <v>0</v>
      </c>
      <c r="AH44" s="880">
        <f t="shared" si="5"/>
        <v>0</v>
      </c>
      <c r="AI44" s="878">
        <f>'[2]2021. előirányzat'!G44</f>
        <v>0</v>
      </c>
      <c r="AJ44" s="878">
        <f>'[2]2022. előirányzat'!G44</f>
        <v>0</v>
      </c>
      <c r="AK44" s="878">
        <f>'[2]2023. előirányzat'!G44</f>
        <v>0</v>
      </c>
      <c r="AL44" s="878">
        <f>'[2]2024. előirányzat'!G44</f>
        <v>0</v>
      </c>
      <c r="AM44" s="881">
        <f t="shared" si="6"/>
        <v>0</v>
      </c>
      <c r="AN44" s="881">
        <f t="shared" si="7"/>
        <v>0</v>
      </c>
      <c r="AO44" s="881">
        <f t="shared" si="8"/>
        <v>0</v>
      </c>
      <c r="AP44" s="881">
        <f t="shared" si="9"/>
        <v>0</v>
      </c>
      <c r="AQ44" s="882"/>
      <c r="AR44" s="883"/>
      <c r="AS44" s="884"/>
      <c r="AT44" s="882"/>
      <c r="AU44" s="882" t="s">
        <v>784</v>
      </c>
    </row>
    <row r="45" spans="1:47" ht="30" x14ac:dyDescent="0.25">
      <c r="A45" s="885" t="s">
        <v>457</v>
      </c>
      <c r="B45" s="757" t="str">
        <f>[1]előirányzat!B44</f>
        <v>Ispánk Község Önkormányzata</v>
      </c>
      <c r="C45" s="755">
        <v>113</v>
      </c>
      <c r="D45" s="878">
        <f>'[2]2009. évi előirányzat'!M45</f>
        <v>0</v>
      </c>
      <c r="E45" s="878">
        <f>'[2]2009. évi előirányzat'!N45</f>
        <v>0</v>
      </c>
      <c r="F45" s="878">
        <f>'[2]2009. évi előirányzat'!O45</f>
        <v>0</v>
      </c>
      <c r="G45" s="878">
        <f>'[2]2010. évi előirányzat'!J45</f>
        <v>0</v>
      </c>
      <c r="H45" s="878">
        <f>'[2]2010. évi előirányzat'!K45</f>
        <v>0</v>
      </c>
      <c r="I45" s="878">
        <f>'[2]2011. évi előirányzat'!J45</f>
        <v>0</v>
      </c>
      <c r="J45" s="878">
        <f>'[2]2011. évi előirányzat'!K45</f>
        <v>0</v>
      </c>
      <c r="K45" s="878">
        <f>'[2]2012. évi előirányzat'!J45</f>
        <v>0</v>
      </c>
      <c r="L45" s="878">
        <f>'[2]2012. évi előirányzat'!K45</f>
        <v>0</v>
      </c>
      <c r="M45" s="878">
        <f>'[2]2013. előirányzat'!J45</f>
        <v>0</v>
      </c>
      <c r="N45" s="878">
        <f>'[2]2013. előirányzat'!K45</f>
        <v>0</v>
      </c>
      <c r="O45" s="878">
        <f>'[2]2014. évi előirányzat'!J45</f>
        <v>0</v>
      </c>
      <c r="P45" s="878">
        <f>'[2]2014. évi előirányzat'!K45</f>
        <v>0</v>
      </c>
      <c r="Q45" s="878">
        <f>'[2]2015. évi előirányzat'!J45</f>
        <v>0</v>
      </c>
      <c r="R45" s="878">
        <f>'[2]2015. évi előirányzat'!K45</f>
        <v>0</v>
      </c>
      <c r="S45" s="878">
        <f>'[2]2016 előirányzat'!J45</f>
        <v>0</v>
      </c>
      <c r="T45" s="878">
        <f>'[2]2016 előirányzat'!K45</f>
        <v>0</v>
      </c>
      <c r="U45" s="878">
        <f>'[2]2017. előirányzat'!J45</f>
        <v>0</v>
      </c>
      <c r="V45" s="878">
        <f>'[2]2017. előirányzat'!K45</f>
        <v>-56500</v>
      </c>
      <c r="W45" s="878">
        <f>'[2]2018. előirányzat'!J45</f>
        <v>0</v>
      </c>
      <c r="X45" s="878">
        <f>'[2]2018. előirányzat'!K45</f>
        <v>0</v>
      </c>
      <c r="Y45" s="878">
        <f>'[2]2019. előirányzat'!J45</f>
        <v>0</v>
      </c>
      <c r="Z45" s="878">
        <f>'[2]2019. előirányzat'!K45</f>
        <v>0</v>
      </c>
      <c r="AA45" s="878">
        <f>'[2]2020. előirányzat'!G45</f>
        <v>0</v>
      </c>
      <c r="AB45" s="879">
        <f t="shared" si="0"/>
        <v>0</v>
      </c>
      <c r="AC45" s="879">
        <f t="shared" si="1"/>
        <v>-56500</v>
      </c>
      <c r="AD45" s="879">
        <f t="shared" si="2"/>
        <v>0</v>
      </c>
      <c r="AE45" s="879">
        <f t="shared" si="3"/>
        <v>-56500</v>
      </c>
      <c r="AF45" s="880">
        <f t="shared" si="4"/>
        <v>0</v>
      </c>
      <c r="AG45" s="880">
        <f>AE45+(3*11300)+22600</f>
        <v>0</v>
      </c>
      <c r="AH45" s="880">
        <f t="shared" si="5"/>
        <v>0</v>
      </c>
      <c r="AI45" s="878">
        <f>'[2]2021. előirányzat'!G45</f>
        <v>0</v>
      </c>
      <c r="AJ45" s="878">
        <f>'[2]2022. előirányzat'!G45</f>
        <v>0</v>
      </c>
      <c r="AK45" s="878">
        <f>'[2]2023. előirányzat'!G45</f>
        <v>0</v>
      </c>
      <c r="AL45" s="878">
        <f>'[2]2024. előirányzat'!G45</f>
        <v>0</v>
      </c>
      <c r="AM45" s="881">
        <f t="shared" si="6"/>
        <v>0</v>
      </c>
      <c r="AN45" s="881">
        <f t="shared" si="7"/>
        <v>0</v>
      </c>
      <c r="AO45" s="881">
        <f t="shared" si="8"/>
        <v>0</v>
      </c>
      <c r="AP45" s="881">
        <f t="shared" si="9"/>
        <v>0</v>
      </c>
      <c r="AQ45" s="882"/>
      <c r="AR45" s="883"/>
      <c r="AS45" s="884"/>
      <c r="AT45" s="882"/>
      <c r="AU45" s="882" t="s">
        <v>781</v>
      </c>
    </row>
    <row r="46" spans="1:47" ht="30" x14ac:dyDescent="0.25">
      <c r="A46" s="754" t="s">
        <v>458</v>
      </c>
      <c r="B46" s="757" t="str">
        <f>[1]előirányzat!B45</f>
        <v>Ivánc Község Önkormányzata</v>
      </c>
      <c r="C46" s="755">
        <v>698</v>
      </c>
      <c r="D46" s="878">
        <f>'[2]2009. évi előirányzat'!M46</f>
        <v>0</v>
      </c>
      <c r="E46" s="878">
        <f>'[2]2009. évi előirányzat'!N46</f>
        <v>0</v>
      </c>
      <c r="F46" s="878">
        <f>'[2]2009. évi előirányzat'!O46</f>
        <v>0</v>
      </c>
      <c r="G46" s="878">
        <f>'[2]2010. évi előirányzat'!J46</f>
        <v>0</v>
      </c>
      <c r="H46" s="878">
        <f>'[2]2010. évi előirányzat'!K46</f>
        <v>0</v>
      </c>
      <c r="I46" s="878">
        <f>'[2]2011. évi előirányzat'!J46</f>
        <v>0</v>
      </c>
      <c r="J46" s="878">
        <f>'[2]2011. évi előirányzat'!K46</f>
        <v>0</v>
      </c>
      <c r="K46" s="878">
        <f>'[2]2012. évi előirányzat'!J46</f>
        <v>0</v>
      </c>
      <c r="L46" s="878">
        <f>'[2]2012. évi előirányzat'!K46</f>
        <v>0</v>
      </c>
      <c r="M46" s="878">
        <f>'[2]2013. előirányzat'!J46</f>
        <v>0</v>
      </c>
      <c r="N46" s="878">
        <f>'[2]2013. előirányzat'!K46</f>
        <v>0</v>
      </c>
      <c r="O46" s="878">
        <f>'[2]2014. évi előirányzat'!J46</f>
        <v>0</v>
      </c>
      <c r="P46" s="878">
        <f>'[2]2014. évi előirányzat'!K46</f>
        <v>0</v>
      </c>
      <c r="Q46" s="878">
        <f>'[2]2015. évi előirányzat'!J46</f>
        <v>0</v>
      </c>
      <c r="R46" s="878">
        <f>'[2]2015. évi előirányzat'!K46</f>
        <v>0</v>
      </c>
      <c r="S46" s="878">
        <f>'[2]2016 előirányzat'!J46</f>
        <v>0</v>
      </c>
      <c r="T46" s="878">
        <f>'[2]2016 előirányzat'!K46</f>
        <v>0</v>
      </c>
      <c r="U46" s="878">
        <f>'[2]2017. előirányzat'!J46</f>
        <v>0</v>
      </c>
      <c r="V46" s="878">
        <f>'[2]2017. előirányzat'!K46</f>
        <v>-349000</v>
      </c>
      <c r="W46" s="878">
        <f>'[2]2018. előirányzat'!J46</f>
        <v>0</v>
      </c>
      <c r="X46" s="878">
        <f>'[2]2018. előirányzat'!K46</f>
        <v>-349000</v>
      </c>
      <c r="Y46" s="878">
        <f>'[2]2019. előirányzat'!J46</f>
        <v>0</v>
      </c>
      <c r="Z46" s="878">
        <f>'[2]2019. előirányzat'!K46</f>
        <v>0</v>
      </c>
      <c r="AA46" s="878">
        <f>'[2]2020. előirányzat'!G46</f>
        <v>0</v>
      </c>
      <c r="AB46" s="879">
        <f t="shared" si="0"/>
        <v>0</v>
      </c>
      <c r="AC46" s="879">
        <f t="shared" si="1"/>
        <v>-698000</v>
      </c>
      <c r="AD46" s="879">
        <f t="shared" si="2"/>
        <v>0</v>
      </c>
      <c r="AE46" s="879">
        <f t="shared" si="3"/>
        <v>-698000</v>
      </c>
      <c r="AF46" s="880">
        <f t="shared" si="4"/>
        <v>0</v>
      </c>
      <c r="AG46" s="880">
        <f>AE46+(2*69800)+558400</f>
        <v>0</v>
      </c>
      <c r="AH46" s="880">
        <f t="shared" si="5"/>
        <v>0</v>
      </c>
      <c r="AI46" s="878">
        <f>'[2]2021. előirányzat'!G46</f>
        <v>0</v>
      </c>
      <c r="AJ46" s="878">
        <f>'[2]2022. előirányzat'!G46</f>
        <v>0</v>
      </c>
      <c r="AK46" s="878">
        <f>'[2]2023. előirányzat'!G46</f>
        <v>0</v>
      </c>
      <c r="AL46" s="878">
        <f>'[2]2024. előirányzat'!G46</f>
        <v>0</v>
      </c>
      <c r="AM46" s="881">
        <f t="shared" si="6"/>
        <v>0</v>
      </c>
      <c r="AN46" s="881">
        <f t="shared" si="7"/>
        <v>0</v>
      </c>
      <c r="AO46" s="881">
        <f t="shared" si="8"/>
        <v>0</v>
      </c>
      <c r="AP46" s="881">
        <f t="shared" si="9"/>
        <v>0</v>
      </c>
      <c r="AQ46" s="882"/>
      <c r="AR46" s="883"/>
      <c r="AS46" s="884"/>
      <c r="AT46" s="882"/>
      <c r="AU46" s="882" t="s">
        <v>781</v>
      </c>
    </row>
    <row r="47" spans="1:47" ht="30" x14ac:dyDescent="0.25">
      <c r="A47" s="885" t="s">
        <v>459</v>
      </c>
      <c r="B47" s="755" t="str">
        <f>[1]előirányzat!B46</f>
        <v>Ják Község Önkormányzata</v>
      </c>
      <c r="C47" s="755">
        <v>2533</v>
      </c>
      <c r="D47" s="878">
        <f>'[2]2009. évi előirányzat'!M47</f>
        <v>0</v>
      </c>
      <c r="E47" s="878">
        <f>'[2]2009. évi előirányzat'!N47</f>
        <v>0</v>
      </c>
      <c r="F47" s="878">
        <f>'[2]2009. évi előirányzat'!O47</f>
        <v>0</v>
      </c>
      <c r="G47" s="878">
        <f>'[2]2010. évi előirányzat'!J47</f>
        <v>0</v>
      </c>
      <c r="H47" s="878">
        <f>'[2]2010. évi előirányzat'!K47</f>
        <v>0</v>
      </c>
      <c r="I47" s="878">
        <f>'[2]2011. évi előirányzat'!J47</f>
        <v>0</v>
      </c>
      <c r="J47" s="878">
        <f>'[2]2011. évi előirányzat'!K47</f>
        <v>0</v>
      </c>
      <c r="K47" s="878">
        <f>'[2]2012. évi előirányzat'!J47</f>
        <v>0</v>
      </c>
      <c r="L47" s="878">
        <f>'[2]2012. évi előirányzat'!K47</f>
        <v>0</v>
      </c>
      <c r="M47" s="878">
        <f>'[2]2013. előirányzat'!J47</f>
        <v>0</v>
      </c>
      <c r="N47" s="878">
        <f>'[2]2013. előirányzat'!K47</f>
        <v>0</v>
      </c>
      <c r="O47" s="878">
        <f>'[2]2014. évi előirányzat'!J47</f>
        <v>0</v>
      </c>
      <c r="P47" s="878">
        <f>'[2]2014. évi előirányzat'!K47</f>
        <v>0</v>
      </c>
      <c r="Q47" s="878">
        <f>'[2]2015. évi előirányzat'!J47</f>
        <v>0</v>
      </c>
      <c r="R47" s="878">
        <f>'[2]2015. évi előirányzat'!K47</f>
        <v>311345</v>
      </c>
      <c r="S47" s="878">
        <f>'[2]2016 előirányzat'!J47</f>
        <v>253300</v>
      </c>
      <c r="T47" s="878">
        <f>'[2]2016 előirányzat'!K47</f>
        <v>1266500</v>
      </c>
      <c r="U47" s="878">
        <f>'[2]2017. előirányzat'!J47</f>
        <v>253300</v>
      </c>
      <c r="V47" s="878">
        <f>'[2]2017. előirányzat'!K47</f>
        <v>1266500</v>
      </c>
      <c r="W47" s="878">
        <f>'[2]2018. előirányzat'!J47</f>
        <v>253300</v>
      </c>
      <c r="X47" s="878">
        <f>'[2]2018. előirányzat'!K47</f>
        <v>1266500</v>
      </c>
      <c r="Y47" s="878">
        <f>'[2]2019. előirányzat'!J47</f>
        <v>253300</v>
      </c>
      <c r="Z47" s="878">
        <f>'[2]2019. előirányzat'!K47</f>
        <v>1266500</v>
      </c>
      <c r="AA47" s="878">
        <f>'[2]2020. előirányzat'!G47</f>
        <v>253300</v>
      </c>
      <c r="AB47" s="879">
        <f t="shared" si="0"/>
        <v>1266500</v>
      </c>
      <c r="AC47" s="879">
        <f t="shared" si="1"/>
        <v>5377345</v>
      </c>
      <c r="AD47" s="879">
        <f t="shared" si="2"/>
        <v>0</v>
      </c>
      <c r="AE47" s="879">
        <f t="shared" si="3"/>
        <v>6643845</v>
      </c>
      <c r="AF47" s="880">
        <f t="shared" si="4"/>
        <v>1266500</v>
      </c>
      <c r="AG47" s="880">
        <f>AC47</f>
        <v>5377345</v>
      </c>
      <c r="AH47" s="880">
        <f t="shared" si="5"/>
        <v>6643845</v>
      </c>
      <c r="AI47" s="878">
        <f>'[2]2021. előirányzat'!G47</f>
        <v>253300</v>
      </c>
      <c r="AJ47" s="878">
        <f>'[2]2022. előirányzat'!G47</f>
        <v>253300</v>
      </c>
      <c r="AK47" s="878">
        <f>'[2]2023. előirányzat'!G47</f>
        <v>253300</v>
      </c>
      <c r="AL47" s="878">
        <f>'[2]2024. előirányzat'!G47</f>
        <v>0</v>
      </c>
      <c r="AM47" s="881">
        <f t="shared" si="6"/>
        <v>2026400</v>
      </c>
      <c r="AN47" s="881">
        <f t="shared" si="7"/>
        <v>5377345</v>
      </c>
      <c r="AO47" s="881">
        <f t="shared" si="8"/>
        <v>0</v>
      </c>
      <c r="AP47" s="881">
        <f t="shared" si="9"/>
        <v>7403745</v>
      </c>
      <c r="AQ47" s="882"/>
      <c r="AR47" s="883">
        <f>V47+X47+Z47</f>
        <v>3799500</v>
      </c>
      <c r="AS47" s="884">
        <f>AP47-AR47</f>
        <v>3604245</v>
      </c>
      <c r="AT47" s="882"/>
      <c r="AU47" s="882" t="s">
        <v>788</v>
      </c>
    </row>
    <row r="48" spans="1:47" ht="30" x14ac:dyDescent="0.25">
      <c r="A48" s="885" t="s">
        <v>518</v>
      </c>
      <c r="B48" s="757" t="str">
        <f>[1]előirányzat!B47</f>
        <v>Kám Község Önkormányzata</v>
      </c>
      <c r="C48" s="755">
        <v>445</v>
      </c>
      <c r="D48" s="878">
        <f>'[2]2009. évi előirányzat'!M48</f>
        <v>0</v>
      </c>
      <c r="E48" s="878">
        <f>'[2]2009. évi előirányzat'!N48</f>
        <v>0</v>
      </c>
      <c r="F48" s="878">
        <f>'[2]2009. évi előirányzat'!O48</f>
        <v>0</v>
      </c>
      <c r="G48" s="878">
        <f>'[2]2010. évi előirányzat'!J48</f>
        <v>0</v>
      </c>
      <c r="H48" s="878">
        <f>'[2]2010. évi előirányzat'!K48</f>
        <v>0</v>
      </c>
      <c r="I48" s="878">
        <f>'[2]2011. évi előirányzat'!J48</f>
        <v>0</v>
      </c>
      <c r="J48" s="878">
        <f>'[2]2011. évi előirányzat'!K48</f>
        <v>0</v>
      </c>
      <c r="K48" s="878">
        <f>'[2]2012. évi előirányzat'!J48</f>
        <v>0</v>
      </c>
      <c r="L48" s="878">
        <f>'[2]2012. évi előirányzat'!K48</f>
        <v>0</v>
      </c>
      <c r="M48" s="878">
        <f>'[2]2013. előirányzat'!J48</f>
        <v>0</v>
      </c>
      <c r="N48" s="878">
        <f>'[2]2013. előirányzat'!K48</f>
        <v>0</v>
      </c>
      <c r="O48" s="878">
        <f>'[2]2014. évi előirányzat'!J48</f>
        <v>0</v>
      </c>
      <c r="P48" s="878">
        <f>'[2]2014. évi előirányzat'!K48</f>
        <v>0</v>
      </c>
      <c r="Q48" s="878">
        <f>'[2]2015. évi előirányzat'!J48</f>
        <v>0</v>
      </c>
      <c r="R48" s="878">
        <f>'[2]2015. évi előirányzat'!K48</f>
        <v>0</v>
      </c>
      <c r="S48" s="878">
        <f>'[2]2016 előirányzat'!J48</f>
        <v>0</v>
      </c>
      <c r="T48" s="878">
        <f>'[2]2016 előirányzat'!K48</f>
        <v>0</v>
      </c>
      <c r="U48" s="878">
        <f>'[2]2017. előirányzat'!J48</f>
        <v>0</v>
      </c>
      <c r="V48" s="878">
        <f>'[2]2017. előirányzat'!K48</f>
        <v>-222500</v>
      </c>
      <c r="W48" s="878">
        <f>'[2]2018. előirányzat'!J48</f>
        <v>0</v>
      </c>
      <c r="X48" s="878">
        <f>'[2]2018. előirányzat'!K48</f>
        <v>0</v>
      </c>
      <c r="Y48" s="878">
        <f>'[2]2019. előirányzat'!J48</f>
        <v>0</v>
      </c>
      <c r="Z48" s="878">
        <f>'[2]2019. előirányzat'!K48</f>
        <v>0</v>
      </c>
      <c r="AA48" s="878">
        <f>'[2]2020. előirányzat'!G48</f>
        <v>0</v>
      </c>
      <c r="AB48" s="879">
        <f t="shared" si="0"/>
        <v>0</v>
      </c>
      <c r="AC48" s="879">
        <f t="shared" si="1"/>
        <v>-222500</v>
      </c>
      <c r="AD48" s="879">
        <f t="shared" si="2"/>
        <v>0</v>
      </c>
      <c r="AE48" s="879">
        <f t="shared" si="3"/>
        <v>-222500</v>
      </c>
      <c r="AF48" s="880">
        <f t="shared" si="4"/>
        <v>0</v>
      </c>
      <c r="AG48" s="880">
        <f>AE48+(3*44500)+89000</f>
        <v>0</v>
      </c>
      <c r="AH48" s="880">
        <f t="shared" si="5"/>
        <v>0</v>
      </c>
      <c r="AI48" s="878">
        <f>'[2]2021. előirányzat'!G48</f>
        <v>0</v>
      </c>
      <c r="AJ48" s="878">
        <f>'[2]2022. előirányzat'!G48</f>
        <v>0</v>
      </c>
      <c r="AK48" s="878">
        <f>'[2]2023. előirányzat'!G48</f>
        <v>0</v>
      </c>
      <c r="AL48" s="878">
        <f>'[2]2024. előirányzat'!G48</f>
        <v>0</v>
      </c>
      <c r="AM48" s="881">
        <f t="shared" si="6"/>
        <v>0</v>
      </c>
      <c r="AN48" s="881">
        <f t="shared" si="7"/>
        <v>0</v>
      </c>
      <c r="AO48" s="881">
        <f t="shared" si="8"/>
        <v>0</v>
      </c>
      <c r="AP48" s="881">
        <f t="shared" si="9"/>
        <v>0</v>
      </c>
      <c r="AQ48" s="882"/>
      <c r="AR48" s="883"/>
      <c r="AS48" s="884"/>
      <c r="AT48" s="882"/>
      <c r="AU48" s="882" t="s">
        <v>780</v>
      </c>
    </row>
    <row r="49" spans="1:51" ht="30" x14ac:dyDescent="0.25">
      <c r="A49" s="754" t="s">
        <v>519</v>
      </c>
      <c r="B49" s="757" t="str">
        <f>[1]előirányzat!B48</f>
        <v>Katafa Község Önkormányzata</v>
      </c>
      <c r="C49" s="755">
        <v>399</v>
      </c>
      <c r="D49" s="878">
        <f>'[2]2009. évi előirányzat'!M49</f>
        <v>0</v>
      </c>
      <c r="E49" s="878">
        <f>'[2]2009. évi előirányzat'!N49</f>
        <v>0</v>
      </c>
      <c r="F49" s="878">
        <f>'[2]2009. évi előirányzat'!O49</f>
        <v>0</v>
      </c>
      <c r="G49" s="878">
        <f>'[2]2010. évi előirányzat'!J49</f>
        <v>0</v>
      </c>
      <c r="H49" s="878">
        <f>'[2]2010. évi előirányzat'!K49</f>
        <v>0</v>
      </c>
      <c r="I49" s="878">
        <f>'[2]2011. évi előirányzat'!J49</f>
        <v>0</v>
      </c>
      <c r="J49" s="878">
        <f>'[2]2011. évi előirányzat'!K49</f>
        <v>0</v>
      </c>
      <c r="K49" s="878">
        <f>'[2]2012. évi előirányzat'!J49</f>
        <v>0</v>
      </c>
      <c r="L49" s="878">
        <f>'[2]2012. évi előirányzat'!K49</f>
        <v>0</v>
      </c>
      <c r="M49" s="878">
        <f>'[2]2013. előirányzat'!J49</f>
        <v>0</v>
      </c>
      <c r="N49" s="878">
        <f>'[2]2013. előirányzat'!K49</f>
        <v>0</v>
      </c>
      <c r="O49" s="878">
        <f>'[2]2014. évi előirányzat'!J49</f>
        <v>0</v>
      </c>
      <c r="P49" s="878">
        <f>'[2]2014. évi előirányzat'!K49</f>
        <v>0</v>
      </c>
      <c r="Q49" s="878">
        <f>'[2]2015. évi előirányzat'!J49</f>
        <v>0</v>
      </c>
      <c r="R49" s="878">
        <f>'[2]2015. évi előirányzat'!K49</f>
        <v>0</v>
      </c>
      <c r="S49" s="878">
        <f>'[2]2016 előirányzat'!J49</f>
        <v>0</v>
      </c>
      <c r="T49" s="878">
        <f>'[2]2016 előirányzat'!K49</f>
        <v>0</v>
      </c>
      <c r="U49" s="878">
        <f>'[2]2017. előirányzat'!J49</f>
        <v>0</v>
      </c>
      <c r="V49" s="878">
        <f>'[2]2017. előirányzat'!K49</f>
        <v>-199500</v>
      </c>
      <c r="W49" s="878">
        <f>'[2]2018. előirányzat'!J49</f>
        <v>0</v>
      </c>
      <c r="X49" s="878">
        <f>'[2]2018. előirányzat'!K49</f>
        <v>0</v>
      </c>
      <c r="Y49" s="878">
        <f>'[2]2019. előirányzat'!J49</f>
        <v>0</v>
      </c>
      <c r="Z49" s="878">
        <f>'[2]2019. előirányzat'!K49</f>
        <v>0</v>
      </c>
      <c r="AA49" s="878">
        <f>'[2]2020. előirányzat'!G49</f>
        <v>0</v>
      </c>
      <c r="AB49" s="879">
        <f t="shared" si="0"/>
        <v>0</v>
      </c>
      <c r="AC49" s="879">
        <f t="shared" si="1"/>
        <v>-199500</v>
      </c>
      <c r="AD49" s="879">
        <f t="shared" si="2"/>
        <v>0</v>
      </c>
      <c r="AE49" s="879">
        <f t="shared" si="3"/>
        <v>-199500</v>
      </c>
      <c r="AF49" s="880">
        <f t="shared" si="4"/>
        <v>0</v>
      </c>
      <c r="AG49" s="880">
        <f>AE49+(2*39900)+119700</f>
        <v>0</v>
      </c>
      <c r="AH49" s="880">
        <f t="shared" si="5"/>
        <v>0</v>
      </c>
      <c r="AI49" s="878">
        <f>'[2]2021. előirányzat'!G49</f>
        <v>0</v>
      </c>
      <c r="AJ49" s="878">
        <f>'[2]2022. előirányzat'!G49</f>
        <v>0</v>
      </c>
      <c r="AK49" s="878">
        <f>'[2]2023. előirányzat'!G49</f>
        <v>0</v>
      </c>
      <c r="AL49" s="878">
        <f>'[2]2024. előirányzat'!G49</f>
        <v>0</v>
      </c>
      <c r="AM49" s="881">
        <f t="shared" si="6"/>
        <v>0</v>
      </c>
      <c r="AN49" s="881">
        <f t="shared" si="7"/>
        <v>0</v>
      </c>
      <c r="AO49" s="881">
        <f t="shared" si="8"/>
        <v>0</v>
      </c>
      <c r="AP49" s="881">
        <f t="shared" si="9"/>
        <v>0</v>
      </c>
      <c r="AQ49" s="882"/>
      <c r="AR49" s="883"/>
      <c r="AS49" s="884"/>
      <c r="AT49" s="882"/>
      <c r="AU49" s="882" t="s">
        <v>786</v>
      </c>
    </row>
    <row r="50" spans="1:51" ht="45" x14ac:dyDescent="0.25">
      <c r="A50" s="885" t="s">
        <v>520</v>
      </c>
      <c r="B50" s="755" t="str">
        <f>[1]előirányzat!B49</f>
        <v>Kemenespálfa Község Önkormányzata</v>
      </c>
      <c r="C50" s="755">
        <v>478</v>
      </c>
      <c r="D50" s="878">
        <f>'[2]2009. évi előirányzat'!M50</f>
        <v>0</v>
      </c>
      <c r="E50" s="878">
        <f>'[2]2009. évi előirányzat'!N50</f>
        <v>0</v>
      </c>
      <c r="F50" s="878">
        <f>'[2]2009. évi előirányzat'!O50</f>
        <v>0</v>
      </c>
      <c r="G50" s="878">
        <f>'[2]2010. évi előirányzat'!J50</f>
        <v>0</v>
      </c>
      <c r="H50" s="878">
        <f>'[2]2010. évi előirányzat'!K50</f>
        <v>0</v>
      </c>
      <c r="I50" s="878">
        <f>'[2]2011. évi előirányzat'!J50</f>
        <v>0</v>
      </c>
      <c r="J50" s="878">
        <f>'[2]2011. évi előirányzat'!K50</f>
        <v>0</v>
      </c>
      <c r="K50" s="878">
        <f>'[2]2012. évi előirányzat'!J50</f>
        <v>0</v>
      </c>
      <c r="L50" s="878">
        <f>'[2]2012. évi előirányzat'!K50</f>
        <v>0</v>
      </c>
      <c r="M50" s="878">
        <f>'[2]2013. előirányzat'!J50</f>
        <v>0</v>
      </c>
      <c r="N50" s="878">
        <f>'[2]2013. előirányzat'!K50</f>
        <v>0</v>
      </c>
      <c r="O50" s="878">
        <f>'[2]2014. évi előirányzat'!J50</f>
        <v>0</v>
      </c>
      <c r="P50" s="878">
        <f>'[2]2014. évi előirányzat'!K50</f>
        <v>47800</v>
      </c>
      <c r="Q50" s="878">
        <f>'[2]2015. évi előirányzat'!J50</f>
        <v>47800.000000000007</v>
      </c>
      <c r="R50" s="878">
        <f>'[2]2015. évi előirányzat'!K50</f>
        <v>239000</v>
      </c>
      <c r="S50" s="878">
        <f>'[2]2016 előirányzat'!J50</f>
        <v>47800.000000000007</v>
      </c>
      <c r="T50" s="878">
        <f>'[2]2016 előirányzat'!K50</f>
        <v>239000</v>
      </c>
      <c r="U50" s="878">
        <f>'[2]2017. előirányzat'!J50</f>
        <v>47800.000000000007</v>
      </c>
      <c r="V50" s="878">
        <f>'[2]2017. előirányzat'!K50</f>
        <v>239000</v>
      </c>
      <c r="W50" s="878">
        <f>'[2]2018. előirányzat'!J50</f>
        <v>47800.000000000007</v>
      </c>
      <c r="X50" s="878">
        <f>'[2]2018. előirányzat'!K50</f>
        <v>239000</v>
      </c>
      <c r="Y50" s="878">
        <f>'[2]2019. előirányzat'!J50</f>
        <v>47800.000000000007</v>
      </c>
      <c r="Z50" s="878">
        <f>'[2]2019. előirányzat'!K50</f>
        <v>239000</v>
      </c>
      <c r="AA50" s="878">
        <f>'[2]2020. előirányzat'!G50</f>
        <v>47800.000000000007</v>
      </c>
      <c r="AB50" s="879">
        <f t="shared" si="0"/>
        <v>286800.00000000006</v>
      </c>
      <c r="AC50" s="879">
        <f t="shared" si="1"/>
        <v>1242800</v>
      </c>
      <c r="AD50" s="879">
        <f t="shared" si="2"/>
        <v>0</v>
      </c>
      <c r="AE50" s="879">
        <f t="shared" si="3"/>
        <v>1529600</v>
      </c>
      <c r="AF50" s="880">
        <f t="shared" si="4"/>
        <v>286800.00000000006</v>
      </c>
      <c r="AG50" s="880">
        <f>AC50</f>
        <v>1242800</v>
      </c>
      <c r="AH50" s="880">
        <f t="shared" si="5"/>
        <v>1529600</v>
      </c>
      <c r="AI50" s="878">
        <f>'[2]2021. előirányzat'!G50</f>
        <v>47800.000000000007</v>
      </c>
      <c r="AJ50" s="878">
        <f>'[2]2022. előirányzat'!G50</f>
        <v>47800.000000000007</v>
      </c>
      <c r="AK50" s="878">
        <f>'[2]2023. előirányzat'!G50</f>
        <v>47800.000000000007</v>
      </c>
      <c r="AL50" s="878">
        <f>'[2]2024. előirányzat'!G50</f>
        <v>0</v>
      </c>
      <c r="AM50" s="881">
        <f t="shared" si="6"/>
        <v>430200.00000000006</v>
      </c>
      <c r="AN50" s="881">
        <f t="shared" si="7"/>
        <v>1242800</v>
      </c>
      <c r="AO50" s="881">
        <f t="shared" si="8"/>
        <v>0</v>
      </c>
      <c r="AP50" s="881">
        <f t="shared" si="9"/>
        <v>1673000</v>
      </c>
      <c r="AQ50" s="882"/>
      <c r="AR50" s="883">
        <f>V50+X50+Z50</f>
        <v>717000</v>
      </c>
      <c r="AS50" s="884">
        <f>AP50-AR50</f>
        <v>956000</v>
      </c>
      <c r="AT50" s="882"/>
      <c r="AU50" s="882" t="s">
        <v>783</v>
      </c>
    </row>
    <row r="51" spans="1:51" ht="45" x14ac:dyDescent="0.25">
      <c r="A51" s="885" t="s">
        <v>521</v>
      </c>
      <c r="B51" s="757" t="str">
        <f>[1]előirányzat!B50</f>
        <v>Kemenestaródfa Község Önkormányzata</v>
      </c>
      <c r="C51" s="755">
        <v>247</v>
      </c>
      <c r="D51" s="878">
        <f>'[2]2009. évi előirányzat'!M51</f>
        <v>0</v>
      </c>
      <c r="E51" s="878">
        <f>'[2]2009. évi előirányzat'!N51</f>
        <v>0</v>
      </c>
      <c r="F51" s="878">
        <f>'[2]2009. évi előirányzat'!O51</f>
        <v>0</v>
      </c>
      <c r="G51" s="878">
        <f>'[2]2010. évi előirányzat'!J51</f>
        <v>0</v>
      </c>
      <c r="H51" s="878">
        <f>'[2]2010. évi előirányzat'!K51</f>
        <v>0</v>
      </c>
      <c r="I51" s="878">
        <f>'[2]2011. évi előirányzat'!J51</f>
        <v>0</v>
      </c>
      <c r="J51" s="878">
        <f>'[2]2011. évi előirányzat'!K51</f>
        <v>0</v>
      </c>
      <c r="K51" s="878">
        <f>'[2]2012. évi előirányzat'!J51</f>
        <v>0</v>
      </c>
      <c r="L51" s="878">
        <f>'[2]2012. évi előirányzat'!K51</f>
        <v>0</v>
      </c>
      <c r="M51" s="878">
        <f>'[2]2013. előirányzat'!J51</f>
        <v>0</v>
      </c>
      <c r="N51" s="878">
        <f>'[2]2013. előirányzat'!K51</f>
        <v>0</v>
      </c>
      <c r="O51" s="878">
        <f>'[2]2014. évi előirányzat'!J51</f>
        <v>0</v>
      </c>
      <c r="P51" s="878">
        <f>'[2]2014. évi előirányzat'!K51</f>
        <v>0</v>
      </c>
      <c r="Q51" s="878">
        <f>'[2]2015. évi előirányzat'!J51</f>
        <v>0</v>
      </c>
      <c r="R51" s="878">
        <f>'[2]2015. évi előirányzat'!K51</f>
        <v>0</v>
      </c>
      <c r="S51" s="878">
        <f>'[2]2016 előirányzat'!J51</f>
        <v>0</v>
      </c>
      <c r="T51" s="878">
        <f>'[2]2016 előirányzat'!K51</f>
        <v>0</v>
      </c>
      <c r="U51" s="878">
        <f>'[2]2017. előirányzat'!J51</f>
        <v>0</v>
      </c>
      <c r="V51" s="878">
        <f>'[2]2017. előirányzat'!K51</f>
        <v>-123500</v>
      </c>
      <c r="W51" s="878">
        <f>'[2]2018. előirányzat'!J51</f>
        <v>0</v>
      </c>
      <c r="X51" s="878">
        <f>'[2]2018. előirányzat'!K51</f>
        <v>0</v>
      </c>
      <c r="Y51" s="878">
        <f>'[2]2019. előirányzat'!J51</f>
        <v>0</v>
      </c>
      <c r="Z51" s="878">
        <f>'[2]2019. előirányzat'!K51</f>
        <v>0</v>
      </c>
      <c r="AA51" s="878">
        <f>'[2]2020. előirányzat'!G51</f>
        <v>0</v>
      </c>
      <c r="AB51" s="879">
        <f t="shared" si="0"/>
        <v>0</v>
      </c>
      <c r="AC51" s="879">
        <f t="shared" si="1"/>
        <v>-123500</v>
      </c>
      <c r="AD51" s="879">
        <f t="shared" si="2"/>
        <v>0</v>
      </c>
      <c r="AE51" s="879">
        <f t="shared" si="3"/>
        <v>-123500</v>
      </c>
      <c r="AF51" s="880">
        <f t="shared" si="4"/>
        <v>0</v>
      </c>
      <c r="AG51" s="880">
        <f>AE51+(3*24700)+49400</f>
        <v>0</v>
      </c>
      <c r="AH51" s="880">
        <f t="shared" si="5"/>
        <v>0</v>
      </c>
      <c r="AI51" s="878">
        <f>'[2]2021. előirányzat'!G51</f>
        <v>0</v>
      </c>
      <c r="AJ51" s="878">
        <f>'[2]2022. előirányzat'!G51</f>
        <v>0</v>
      </c>
      <c r="AK51" s="878">
        <f>'[2]2023. előirányzat'!G51</f>
        <v>0</v>
      </c>
      <c r="AL51" s="878">
        <f>'[2]2024. előirányzat'!G51</f>
        <v>0</v>
      </c>
      <c r="AM51" s="881">
        <f t="shared" si="6"/>
        <v>0</v>
      </c>
      <c r="AN51" s="881">
        <f t="shared" si="7"/>
        <v>0</v>
      </c>
      <c r="AO51" s="881">
        <f t="shared" si="8"/>
        <v>0</v>
      </c>
      <c r="AP51" s="881">
        <f t="shared" si="9"/>
        <v>0</v>
      </c>
      <c r="AQ51" s="882"/>
      <c r="AR51" s="883"/>
      <c r="AS51" s="884"/>
      <c r="AT51" s="882"/>
      <c r="AU51" s="882" t="s">
        <v>786</v>
      </c>
    </row>
    <row r="52" spans="1:51" ht="30" x14ac:dyDescent="0.25">
      <c r="A52" s="754" t="s">
        <v>522</v>
      </c>
      <c r="B52" s="757" t="str">
        <f>[1]előirányzat!B51</f>
        <v>Kenéz Község Önkormányzata</v>
      </c>
      <c r="C52" s="755">
        <v>290</v>
      </c>
      <c r="D52" s="878">
        <f>'[2]2009. évi előirányzat'!M52</f>
        <v>0</v>
      </c>
      <c r="E52" s="878">
        <f>'[2]2009. évi előirányzat'!N52</f>
        <v>0</v>
      </c>
      <c r="F52" s="878">
        <f>'[2]2009. évi előirányzat'!O52</f>
        <v>0</v>
      </c>
      <c r="G52" s="878">
        <f>'[2]2010. évi előirányzat'!J52</f>
        <v>0</v>
      </c>
      <c r="H52" s="878">
        <f>'[2]2010. évi előirányzat'!K52</f>
        <v>0</v>
      </c>
      <c r="I52" s="878">
        <f>'[2]2011. évi előirányzat'!J52</f>
        <v>0</v>
      </c>
      <c r="J52" s="878">
        <f>'[2]2011. évi előirányzat'!K52</f>
        <v>0</v>
      </c>
      <c r="K52" s="878">
        <f>'[2]2012. évi előirányzat'!J52</f>
        <v>0</v>
      </c>
      <c r="L52" s="878">
        <f>'[2]2012. évi előirányzat'!K52</f>
        <v>0</v>
      </c>
      <c r="M52" s="878">
        <f>'[2]2013. előirányzat'!J52</f>
        <v>0</v>
      </c>
      <c r="N52" s="878">
        <f>'[2]2013. előirányzat'!K52</f>
        <v>0</v>
      </c>
      <c r="O52" s="878">
        <f>'[2]2014. évi előirányzat'!J52</f>
        <v>0</v>
      </c>
      <c r="P52" s="878">
        <f>'[2]2014. évi előirányzat'!K52</f>
        <v>0</v>
      </c>
      <c r="Q52" s="878">
        <f>'[2]2015. évi előirányzat'!J52</f>
        <v>0</v>
      </c>
      <c r="R52" s="878">
        <f>'[2]2015. évi előirányzat'!K52</f>
        <v>0</v>
      </c>
      <c r="S52" s="878">
        <f>'[2]2016 előirányzat'!J52</f>
        <v>0</v>
      </c>
      <c r="T52" s="878">
        <f>'[2]2016 előirányzat'!K52</f>
        <v>0</v>
      </c>
      <c r="U52" s="878">
        <f>'[2]2017. előirányzat'!J52</f>
        <v>0</v>
      </c>
      <c r="V52" s="878">
        <f>'[2]2017. előirányzat'!K52</f>
        <v>-145000</v>
      </c>
      <c r="W52" s="878">
        <f>'[2]2018. előirányzat'!J52</f>
        <v>0</v>
      </c>
      <c r="X52" s="878">
        <f>'[2]2018. előirányzat'!K52</f>
        <v>-145000</v>
      </c>
      <c r="Y52" s="878">
        <f>'[2]2019. előirányzat'!J52</f>
        <v>0</v>
      </c>
      <c r="Z52" s="878">
        <f>'[2]2019. előirányzat'!K52</f>
        <v>0</v>
      </c>
      <c r="AA52" s="878">
        <f>'[2]2020. előirányzat'!G52</f>
        <v>0</v>
      </c>
      <c r="AB52" s="879">
        <f t="shared" si="0"/>
        <v>0</v>
      </c>
      <c r="AC52" s="879">
        <f t="shared" si="1"/>
        <v>-290000</v>
      </c>
      <c r="AD52" s="879">
        <f t="shared" si="2"/>
        <v>0</v>
      </c>
      <c r="AE52" s="879">
        <f t="shared" si="3"/>
        <v>-290000</v>
      </c>
      <c r="AF52" s="880">
        <f t="shared" si="4"/>
        <v>0</v>
      </c>
      <c r="AG52" s="880">
        <f>AE52+29000+261000</f>
        <v>0</v>
      </c>
      <c r="AH52" s="880">
        <f t="shared" si="5"/>
        <v>0</v>
      </c>
      <c r="AI52" s="878">
        <f>'[2]2021. előirányzat'!G52</f>
        <v>0</v>
      </c>
      <c r="AJ52" s="878">
        <f>'[2]2022. előirányzat'!G52</f>
        <v>0</v>
      </c>
      <c r="AK52" s="878">
        <f>'[2]2023. előirányzat'!G52</f>
        <v>0</v>
      </c>
      <c r="AL52" s="878">
        <f>'[2]2024. előirányzat'!G52</f>
        <v>0</v>
      </c>
      <c r="AM52" s="881">
        <f t="shared" si="6"/>
        <v>0</v>
      </c>
      <c r="AN52" s="881">
        <f t="shared" si="7"/>
        <v>0</v>
      </c>
      <c r="AO52" s="881">
        <f t="shared" si="8"/>
        <v>0</v>
      </c>
      <c r="AP52" s="881">
        <f t="shared" si="9"/>
        <v>0</v>
      </c>
      <c r="AQ52" s="882"/>
      <c r="AR52" s="883"/>
      <c r="AS52" s="884"/>
      <c r="AT52" s="882"/>
      <c r="AU52" s="882" t="s">
        <v>783</v>
      </c>
    </row>
    <row r="53" spans="1:51" ht="30" x14ac:dyDescent="0.25">
      <c r="A53" s="885" t="s">
        <v>523</v>
      </c>
      <c r="B53" s="757" t="str">
        <f>[1]előirányzat!B52</f>
        <v>Kercaszomor Község Önkormányzata</v>
      </c>
      <c r="C53" s="755">
        <v>228</v>
      </c>
      <c r="D53" s="878">
        <f>'[2]2009. évi előirányzat'!M53</f>
        <v>0</v>
      </c>
      <c r="E53" s="878">
        <f>'[2]2009. évi előirányzat'!N53</f>
        <v>0</v>
      </c>
      <c r="F53" s="878">
        <f>'[2]2009. évi előirányzat'!O53</f>
        <v>0</v>
      </c>
      <c r="G53" s="878">
        <f>'[2]2010. évi előirányzat'!J53</f>
        <v>0</v>
      </c>
      <c r="H53" s="878">
        <f>'[2]2010. évi előirányzat'!K53</f>
        <v>0</v>
      </c>
      <c r="I53" s="878">
        <f>'[2]2011. évi előirányzat'!J53</f>
        <v>0</v>
      </c>
      <c r="J53" s="878">
        <f>'[2]2011. évi előirányzat'!K53</f>
        <v>0</v>
      </c>
      <c r="K53" s="878">
        <f>'[2]2012. évi előirányzat'!J53</f>
        <v>0</v>
      </c>
      <c r="L53" s="878">
        <f>'[2]2012. évi előirányzat'!K53</f>
        <v>0</v>
      </c>
      <c r="M53" s="878">
        <f>'[2]2013. előirányzat'!J53</f>
        <v>0</v>
      </c>
      <c r="N53" s="878">
        <f>'[2]2013. előirányzat'!K53</f>
        <v>0</v>
      </c>
      <c r="O53" s="878">
        <f>'[2]2014. évi előirányzat'!J53</f>
        <v>0</v>
      </c>
      <c r="P53" s="878">
        <f>'[2]2014. évi előirányzat'!K53</f>
        <v>0</v>
      </c>
      <c r="Q53" s="878">
        <f>'[2]2015. évi előirányzat'!J53</f>
        <v>0</v>
      </c>
      <c r="R53" s="878">
        <f>'[2]2015. évi előirányzat'!K53</f>
        <v>0</v>
      </c>
      <c r="S53" s="878">
        <f>'[2]2016 előirányzat'!J53</f>
        <v>0</v>
      </c>
      <c r="T53" s="878">
        <f>'[2]2016 előirányzat'!K53</f>
        <v>0</v>
      </c>
      <c r="U53" s="878">
        <f>'[2]2017. előirányzat'!J53</f>
        <v>0</v>
      </c>
      <c r="V53" s="878">
        <f>'[2]2017. előirányzat'!K53</f>
        <v>-114000</v>
      </c>
      <c r="W53" s="878">
        <f>'[2]2018. előirányzat'!J53</f>
        <v>0</v>
      </c>
      <c r="X53" s="878">
        <f>'[2]2018. előirányzat'!K53</f>
        <v>0</v>
      </c>
      <c r="Y53" s="878">
        <f>'[2]2019. előirányzat'!J53</f>
        <v>0</v>
      </c>
      <c r="Z53" s="878">
        <f>'[2]2019. előirányzat'!K53</f>
        <v>0</v>
      </c>
      <c r="AA53" s="878">
        <f>'[2]2020. előirányzat'!G53</f>
        <v>0</v>
      </c>
      <c r="AB53" s="879">
        <f t="shared" si="0"/>
        <v>0</v>
      </c>
      <c r="AC53" s="879">
        <f t="shared" si="1"/>
        <v>-114000</v>
      </c>
      <c r="AD53" s="879">
        <f t="shared" si="2"/>
        <v>0</v>
      </c>
      <c r="AE53" s="879">
        <f t="shared" si="3"/>
        <v>-114000</v>
      </c>
      <c r="AF53" s="880">
        <f t="shared" si="4"/>
        <v>0</v>
      </c>
      <c r="AG53" s="880">
        <f>AE53+(3*22800)+45600</f>
        <v>0</v>
      </c>
      <c r="AH53" s="880">
        <f t="shared" si="5"/>
        <v>0</v>
      </c>
      <c r="AI53" s="878">
        <f>'[2]2021. előirányzat'!G53</f>
        <v>0</v>
      </c>
      <c r="AJ53" s="878">
        <f>'[2]2022. előirányzat'!G53</f>
        <v>0</v>
      </c>
      <c r="AK53" s="878">
        <f>'[2]2023. előirányzat'!G53</f>
        <v>0</v>
      </c>
      <c r="AL53" s="878">
        <f>'[2]2024. előirányzat'!G53</f>
        <v>0</v>
      </c>
      <c r="AM53" s="881">
        <f t="shared" si="6"/>
        <v>0</v>
      </c>
      <c r="AN53" s="881">
        <f t="shared" si="7"/>
        <v>0</v>
      </c>
      <c r="AO53" s="881">
        <f t="shared" si="8"/>
        <v>0</v>
      </c>
      <c r="AP53" s="881">
        <f t="shared" si="9"/>
        <v>0</v>
      </c>
      <c r="AQ53" s="882"/>
      <c r="AR53" s="883"/>
      <c r="AS53" s="884"/>
      <c r="AT53" s="882"/>
      <c r="AU53" s="882" t="s">
        <v>781</v>
      </c>
    </row>
    <row r="54" spans="1:51" ht="45" x14ac:dyDescent="0.25">
      <c r="A54" s="885" t="s">
        <v>524</v>
      </c>
      <c r="B54" s="757" t="str">
        <f>[1]előirányzat!B53</f>
        <v>Kerkáskápolna Község Önkormányzata</v>
      </c>
      <c r="C54" s="755">
        <v>108</v>
      </c>
      <c r="D54" s="878">
        <f>'[2]2009. évi előirányzat'!M54</f>
        <v>0</v>
      </c>
      <c r="E54" s="878">
        <f>'[2]2009. évi előirányzat'!N54</f>
        <v>0</v>
      </c>
      <c r="F54" s="878">
        <f>'[2]2009. évi előirányzat'!O54</f>
        <v>0</v>
      </c>
      <c r="G54" s="878">
        <f>'[2]2010. évi előirányzat'!J54</f>
        <v>0</v>
      </c>
      <c r="H54" s="878">
        <f>'[2]2010. évi előirányzat'!K54</f>
        <v>0</v>
      </c>
      <c r="I54" s="878">
        <f>'[2]2011. évi előirányzat'!J54</f>
        <v>0</v>
      </c>
      <c r="J54" s="878">
        <f>'[2]2011. évi előirányzat'!K54</f>
        <v>0</v>
      </c>
      <c r="K54" s="878">
        <f>'[2]2012. évi előirányzat'!J54</f>
        <v>0</v>
      </c>
      <c r="L54" s="878">
        <f>'[2]2012. évi előirányzat'!K54</f>
        <v>0</v>
      </c>
      <c r="M54" s="878">
        <f>'[2]2013. előirányzat'!J54</f>
        <v>0</v>
      </c>
      <c r="N54" s="878">
        <f>'[2]2013. előirányzat'!K54</f>
        <v>0</v>
      </c>
      <c r="O54" s="878">
        <f>'[2]2014. évi előirányzat'!J54</f>
        <v>0</v>
      </c>
      <c r="P54" s="878">
        <f>'[2]2014. évi előirányzat'!K54</f>
        <v>0</v>
      </c>
      <c r="Q54" s="878">
        <f>'[2]2015. évi előirányzat'!J54</f>
        <v>0</v>
      </c>
      <c r="R54" s="878">
        <f>'[2]2015. évi előirányzat'!K54</f>
        <v>0</v>
      </c>
      <c r="S54" s="878">
        <f>'[2]2016 előirányzat'!J54</f>
        <v>0</v>
      </c>
      <c r="T54" s="878">
        <f>'[2]2016 előirányzat'!K54</f>
        <v>0</v>
      </c>
      <c r="U54" s="878">
        <f>'[2]2017. előirányzat'!J54</f>
        <v>0</v>
      </c>
      <c r="V54" s="878">
        <f>'[2]2017. előirányzat'!K54</f>
        <v>-54000</v>
      </c>
      <c r="W54" s="878">
        <f>'[2]2018. előirányzat'!J54</f>
        <v>0</v>
      </c>
      <c r="X54" s="878">
        <f>'[2]2018. előirányzat'!K54</f>
        <v>0</v>
      </c>
      <c r="Y54" s="878">
        <f>'[2]2019. előirányzat'!J54</f>
        <v>0</v>
      </c>
      <c r="Z54" s="878">
        <f>'[2]2019. előirányzat'!K54</f>
        <v>0</v>
      </c>
      <c r="AA54" s="878">
        <f>'[2]2020. előirányzat'!G54</f>
        <v>0</v>
      </c>
      <c r="AB54" s="879">
        <f t="shared" si="0"/>
        <v>0</v>
      </c>
      <c r="AC54" s="879">
        <f t="shared" si="1"/>
        <v>-54000</v>
      </c>
      <c r="AD54" s="879">
        <f t="shared" si="2"/>
        <v>0</v>
      </c>
      <c r="AE54" s="879">
        <f t="shared" si="3"/>
        <v>-54000</v>
      </c>
      <c r="AF54" s="880">
        <f t="shared" si="4"/>
        <v>0</v>
      </c>
      <c r="AG54" s="880">
        <f>AE54+(2*10800)+32400</f>
        <v>0</v>
      </c>
      <c r="AH54" s="880">
        <f t="shared" si="5"/>
        <v>0</v>
      </c>
      <c r="AI54" s="878">
        <f>'[2]2021. előirányzat'!G54</f>
        <v>0</v>
      </c>
      <c r="AJ54" s="878">
        <f>'[2]2022. előirányzat'!G54</f>
        <v>0</v>
      </c>
      <c r="AK54" s="878">
        <f>'[2]2023. előirányzat'!G54</f>
        <v>0</v>
      </c>
      <c r="AL54" s="878">
        <f>'[2]2024. előirányzat'!G54</f>
        <v>0</v>
      </c>
      <c r="AM54" s="881">
        <f t="shared" si="6"/>
        <v>0</v>
      </c>
      <c r="AN54" s="881">
        <f t="shared" si="7"/>
        <v>0</v>
      </c>
      <c r="AO54" s="881">
        <f t="shared" si="8"/>
        <v>0</v>
      </c>
      <c r="AP54" s="881">
        <f t="shared" si="9"/>
        <v>0</v>
      </c>
      <c r="AQ54" s="882"/>
      <c r="AR54" s="883"/>
      <c r="AS54" s="884"/>
      <c r="AT54" s="882"/>
      <c r="AU54" s="882" t="s">
        <v>781</v>
      </c>
    </row>
    <row r="55" spans="1:51" ht="30" x14ac:dyDescent="0.25">
      <c r="A55" s="754" t="s">
        <v>525</v>
      </c>
      <c r="B55" s="757" t="str">
        <f>[1]előirányzat!B54</f>
        <v>Kisrákos Község Önkormányzata</v>
      </c>
      <c r="C55" s="755">
        <v>234</v>
      </c>
      <c r="D55" s="878">
        <f>'[2]2009. évi előirányzat'!M55</f>
        <v>0</v>
      </c>
      <c r="E55" s="878">
        <f>'[2]2009. évi előirányzat'!N55</f>
        <v>0</v>
      </c>
      <c r="F55" s="878">
        <f>'[2]2009. évi előirányzat'!O55</f>
        <v>0</v>
      </c>
      <c r="G55" s="878">
        <f>'[2]2010. évi előirányzat'!J55</f>
        <v>0</v>
      </c>
      <c r="H55" s="878">
        <f>'[2]2010. évi előirányzat'!K55</f>
        <v>0</v>
      </c>
      <c r="I55" s="878">
        <f>'[2]2011. évi előirányzat'!J55</f>
        <v>0</v>
      </c>
      <c r="J55" s="878">
        <f>'[2]2011. évi előirányzat'!K55</f>
        <v>0</v>
      </c>
      <c r="K55" s="878">
        <f>'[2]2012. évi előirányzat'!J55</f>
        <v>0</v>
      </c>
      <c r="L55" s="878">
        <f>'[2]2012. évi előirányzat'!K55</f>
        <v>0</v>
      </c>
      <c r="M55" s="878">
        <f>'[2]2013. előirányzat'!J55</f>
        <v>0</v>
      </c>
      <c r="N55" s="878">
        <f>'[2]2013. előirányzat'!K55</f>
        <v>0</v>
      </c>
      <c r="O55" s="878">
        <f>'[2]2014. évi előirányzat'!J55</f>
        <v>0</v>
      </c>
      <c r="P55" s="878">
        <f>'[2]2014. évi előirányzat'!K55</f>
        <v>0</v>
      </c>
      <c r="Q55" s="878">
        <f>'[2]2015. évi előirányzat'!J55</f>
        <v>0</v>
      </c>
      <c r="R55" s="878">
        <f>'[2]2015. évi előirányzat'!K55</f>
        <v>0</v>
      </c>
      <c r="S55" s="878">
        <f>'[2]2016 előirányzat'!J55</f>
        <v>0</v>
      </c>
      <c r="T55" s="878">
        <f>'[2]2016 előirányzat'!K55</f>
        <v>0</v>
      </c>
      <c r="U55" s="878">
        <f>'[2]2017. előirányzat'!J55</f>
        <v>0</v>
      </c>
      <c r="V55" s="878">
        <f>'[2]2017. előirányzat'!K55</f>
        <v>-117000</v>
      </c>
      <c r="W55" s="878">
        <f>'[2]2018. előirányzat'!J55</f>
        <v>0</v>
      </c>
      <c r="X55" s="878">
        <f>'[2]2018. előirányzat'!K55</f>
        <v>-117000</v>
      </c>
      <c r="Y55" s="878">
        <f>'[2]2019. előirányzat'!J55</f>
        <v>0</v>
      </c>
      <c r="Z55" s="878">
        <f>'[2]2019. előirányzat'!K55</f>
        <v>-55800</v>
      </c>
      <c r="AA55" s="878">
        <f>'[2]2020. előirányzat'!G55</f>
        <v>0</v>
      </c>
      <c r="AB55" s="879">
        <f t="shared" si="0"/>
        <v>0</v>
      </c>
      <c r="AC55" s="879">
        <f t="shared" si="1"/>
        <v>-289800</v>
      </c>
      <c r="AD55" s="879">
        <f t="shared" si="2"/>
        <v>0</v>
      </c>
      <c r="AE55" s="879">
        <f t="shared" si="3"/>
        <v>-289800</v>
      </c>
      <c r="AF55" s="880">
        <f t="shared" si="4"/>
        <v>0</v>
      </c>
      <c r="AG55" s="880">
        <f>AE55+23400+266400</f>
        <v>0</v>
      </c>
      <c r="AH55" s="880">
        <f t="shared" si="5"/>
        <v>0</v>
      </c>
      <c r="AI55" s="878">
        <f>'[2]2021. előirányzat'!G55</f>
        <v>0</v>
      </c>
      <c r="AJ55" s="878">
        <f>'[2]2022. előirányzat'!G55</f>
        <v>0</v>
      </c>
      <c r="AK55" s="878">
        <f>'[2]2023. előirányzat'!G55</f>
        <v>0</v>
      </c>
      <c r="AL55" s="878">
        <f>'[2]2024. előirányzat'!G55</f>
        <v>0</v>
      </c>
      <c r="AM55" s="881">
        <f t="shared" si="6"/>
        <v>0</v>
      </c>
      <c r="AN55" s="881">
        <f t="shared" si="7"/>
        <v>0</v>
      </c>
      <c r="AO55" s="881">
        <f t="shared" si="8"/>
        <v>0</v>
      </c>
      <c r="AP55" s="881">
        <f t="shared" si="9"/>
        <v>0</v>
      </c>
      <c r="AQ55" s="882"/>
      <c r="AR55" s="883"/>
      <c r="AS55" s="884"/>
      <c r="AT55" s="882"/>
      <c r="AU55" s="882" t="s">
        <v>781</v>
      </c>
    </row>
    <row r="56" spans="1:51" ht="30" x14ac:dyDescent="0.25">
      <c r="A56" s="885" t="s">
        <v>526</v>
      </c>
      <c r="B56" s="759" t="str">
        <f>[1]előirányzat!B55</f>
        <v>Kisunyom Község Önkormányzata</v>
      </c>
      <c r="C56" s="755">
        <v>398</v>
      </c>
      <c r="D56" s="878">
        <f>'[2]2009. évi előirányzat'!M56</f>
        <v>0</v>
      </c>
      <c r="E56" s="878">
        <f>'[2]2009. évi előirányzat'!N56</f>
        <v>0</v>
      </c>
      <c r="F56" s="878">
        <f>'[2]2009. évi előirányzat'!O56</f>
        <v>0</v>
      </c>
      <c r="G56" s="878">
        <f>'[2]2010. évi előirányzat'!J56</f>
        <v>0</v>
      </c>
      <c r="H56" s="878">
        <f>'[2]2010. évi előirányzat'!K56</f>
        <v>0</v>
      </c>
      <c r="I56" s="878">
        <f>'[2]2011. évi előirányzat'!J56</f>
        <v>0</v>
      </c>
      <c r="J56" s="878">
        <f>'[2]2011. évi előirányzat'!K56</f>
        <v>0</v>
      </c>
      <c r="K56" s="878">
        <f>'[2]2012. évi előirányzat'!J56</f>
        <v>0</v>
      </c>
      <c r="L56" s="878">
        <f>'[2]2012. évi előirányzat'!K56</f>
        <v>0</v>
      </c>
      <c r="M56" s="878">
        <f>'[2]2013. előirányzat'!J56</f>
        <v>0</v>
      </c>
      <c r="N56" s="878">
        <f>'[2]2013. előirányzat'!K56</f>
        <v>0</v>
      </c>
      <c r="O56" s="878">
        <f>'[2]2014. évi előirányzat'!J56</f>
        <v>0</v>
      </c>
      <c r="P56" s="878">
        <f>'[2]2014. évi előirányzat'!K56</f>
        <v>0</v>
      </c>
      <c r="Q56" s="878">
        <f>'[2]2015. évi előirányzat'!J56</f>
        <v>0</v>
      </c>
      <c r="R56" s="878">
        <f>'[2]2015. évi előirányzat'!K56</f>
        <v>0</v>
      </c>
      <c r="S56" s="878">
        <f>'[2]2016 előirányzat'!J56</f>
        <v>0</v>
      </c>
      <c r="T56" s="878">
        <f>'[2]2016 előirányzat'!K56</f>
        <v>0</v>
      </c>
      <c r="U56" s="878">
        <f>'[2]2017. előirányzat'!J56</f>
        <v>0</v>
      </c>
      <c r="V56" s="878">
        <f>'[2]2017. előirányzat'!K56</f>
        <v>0</v>
      </c>
      <c r="W56" s="878">
        <f>'[2]2018. előirányzat'!J56</f>
        <v>0</v>
      </c>
      <c r="X56" s="878">
        <f>'[2]2018. előirányzat'!K56</f>
        <v>0</v>
      </c>
      <c r="Y56" s="878">
        <f>'[2]2019. előirányzat'!J56</f>
        <v>0</v>
      </c>
      <c r="Z56" s="878">
        <f>'[2]2019. előirányzat'!K56</f>
        <v>0</v>
      </c>
      <c r="AA56" s="878">
        <f>'[2]2020. előirányzat'!G56</f>
        <v>0</v>
      </c>
      <c r="AB56" s="879">
        <f t="shared" si="0"/>
        <v>0</v>
      </c>
      <c r="AC56" s="879">
        <f t="shared" si="1"/>
        <v>0</v>
      </c>
      <c r="AD56" s="879">
        <f t="shared" si="2"/>
        <v>0</v>
      </c>
      <c r="AE56" s="879">
        <f t="shared" si="3"/>
        <v>0</v>
      </c>
      <c r="AF56" s="880">
        <f t="shared" si="4"/>
        <v>0</v>
      </c>
      <c r="AG56" s="880">
        <f>AC56</f>
        <v>0</v>
      </c>
      <c r="AH56" s="880">
        <f t="shared" si="5"/>
        <v>0</v>
      </c>
      <c r="AI56" s="878">
        <f>'[2]2021. előirányzat'!G56</f>
        <v>0</v>
      </c>
      <c r="AJ56" s="878">
        <f>'[2]2022. előirányzat'!G56</f>
        <v>0</v>
      </c>
      <c r="AK56" s="878">
        <f>'[2]2023. előirányzat'!G56</f>
        <v>0</v>
      </c>
      <c r="AL56" s="878">
        <f>'[2]2024. előirányzat'!G56</f>
        <v>0</v>
      </c>
      <c r="AM56" s="881">
        <f t="shared" si="6"/>
        <v>0</v>
      </c>
      <c r="AN56" s="881">
        <f t="shared" si="7"/>
        <v>0</v>
      </c>
      <c r="AO56" s="881">
        <f t="shared" si="8"/>
        <v>0</v>
      </c>
      <c r="AP56" s="881">
        <f t="shared" si="9"/>
        <v>0</v>
      </c>
      <c r="AQ56" s="882"/>
      <c r="AR56" s="883">
        <f>V56+X56+Z56</f>
        <v>0</v>
      </c>
      <c r="AS56" s="884">
        <f>AP56-AR56</f>
        <v>0</v>
      </c>
      <c r="AT56" s="882" t="s">
        <v>782</v>
      </c>
      <c r="AU56" s="882" t="s">
        <v>788</v>
      </c>
    </row>
    <row r="57" spans="1:51" ht="30" x14ac:dyDescent="0.25">
      <c r="A57" s="885" t="s">
        <v>527</v>
      </c>
      <c r="B57" s="757" t="str">
        <f>[1]előirányzat!B56</f>
        <v>Kiszsidány Község Önkormányzata</v>
      </c>
      <c r="C57" s="755">
        <v>100</v>
      </c>
      <c r="D57" s="878">
        <f>'[2]2009. évi előirányzat'!M57</f>
        <v>0</v>
      </c>
      <c r="E57" s="878">
        <f>'[2]2009. évi előirányzat'!N57</f>
        <v>0</v>
      </c>
      <c r="F57" s="878">
        <f>'[2]2009. évi előirányzat'!O57</f>
        <v>0</v>
      </c>
      <c r="G57" s="878">
        <f>'[2]2010. évi előirányzat'!J57</f>
        <v>0</v>
      </c>
      <c r="H57" s="878">
        <f>'[2]2010. évi előirányzat'!K57</f>
        <v>0</v>
      </c>
      <c r="I57" s="878">
        <f>'[2]2011. évi előirányzat'!J57</f>
        <v>0</v>
      </c>
      <c r="J57" s="878">
        <f>'[2]2011. évi előirányzat'!K57</f>
        <v>0</v>
      </c>
      <c r="K57" s="878">
        <f>'[2]2012. évi előirányzat'!J57</f>
        <v>0</v>
      </c>
      <c r="L57" s="878">
        <f>'[2]2012. évi előirányzat'!K57</f>
        <v>0</v>
      </c>
      <c r="M57" s="878">
        <f>'[2]2013. előirányzat'!J57</f>
        <v>0</v>
      </c>
      <c r="N57" s="878">
        <f>'[2]2013. előirányzat'!K57</f>
        <v>0</v>
      </c>
      <c r="O57" s="878">
        <f>'[2]2014. évi előirányzat'!J57</f>
        <v>0</v>
      </c>
      <c r="P57" s="878">
        <f>'[2]2014. évi előirányzat'!K57</f>
        <v>0</v>
      </c>
      <c r="Q57" s="878">
        <f>'[2]2015. évi előirányzat'!J57</f>
        <v>0</v>
      </c>
      <c r="R57" s="878">
        <f>'[2]2015. évi előirányzat'!K57</f>
        <v>0</v>
      </c>
      <c r="S57" s="878">
        <f>'[2]2016 előirányzat'!J57</f>
        <v>0</v>
      </c>
      <c r="T57" s="878">
        <f>'[2]2016 előirányzat'!K57</f>
        <v>0</v>
      </c>
      <c r="U57" s="878">
        <f>'[2]2017. előirányzat'!J57</f>
        <v>0</v>
      </c>
      <c r="V57" s="878">
        <f>'[2]2017. előirányzat'!K57</f>
        <v>0</v>
      </c>
      <c r="W57" s="878">
        <f>'[2]2018. előirányzat'!J57</f>
        <v>0</v>
      </c>
      <c r="X57" s="878">
        <f>'[2]2018. előirányzat'!K57</f>
        <v>0</v>
      </c>
      <c r="Y57" s="878">
        <f>'[2]2019. előirányzat'!J57</f>
        <v>0</v>
      </c>
      <c r="Z57" s="878">
        <f>'[2]2019. előirányzat'!K57</f>
        <v>0</v>
      </c>
      <c r="AA57" s="878">
        <f>'[2]2020. előirányzat'!G57</f>
        <v>0</v>
      </c>
      <c r="AB57" s="879">
        <f t="shared" si="0"/>
        <v>0</v>
      </c>
      <c r="AC57" s="879">
        <f t="shared" si="1"/>
        <v>0</v>
      </c>
      <c r="AD57" s="879">
        <f t="shared" si="2"/>
        <v>0</v>
      </c>
      <c r="AE57" s="879">
        <f t="shared" si="3"/>
        <v>0</v>
      </c>
      <c r="AF57" s="880">
        <f t="shared" si="4"/>
        <v>0</v>
      </c>
      <c r="AG57" s="880">
        <f>AE57</f>
        <v>0</v>
      </c>
      <c r="AH57" s="880">
        <f t="shared" si="5"/>
        <v>0</v>
      </c>
      <c r="AI57" s="878">
        <f>'[2]2021. előirányzat'!G57</f>
        <v>0</v>
      </c>
      <c r="AJ57" s="878">
        <f>'[2]2022. előirányzat'!G57</f>
        <v>0</v>
      </c>
      <c r="AK57" s="878">
        <f>'[2]2023. előirányzat'!G57</f>
        <v>0</v>
      </c>
      <c r="AL57" s="878">
        <f>'[2]2024. előirányzat'!G57</f>
        <v>0</v>
      </c>
      <c r="AM57" s="881">
        <f t="shared" si="6"/>
        <v>0</v>
      </c>
      <c r="AN57" s="881">
        <f t="shared" si="7"/>
        <v>0</v>
      </c>
      <c r="AO57" s="881">
        <f t="shared" si="8"/>
        <v>0</v>
      </c>
      <c r="AP57" s="881">
        <f t="shared" si="9"/>
        <v>0</v>
      </c>
      <c r="AQ57" s="882"/>
      <c r="AR57" s="883"/>
      <c r="AS57" s="884"/>
      <c r="AT57" s="882"/>
      <c r="AU57" s="882" t="s">
        <v>784</v>
      </c>
    </row>
    <row r="58" spans="1:51" ht="30" x14ac:dyDescent="0.25">
      <c r="A58" s="754" t="s">
        <v>528</v>
      </c>
      <c r="B58" s="757" t="str">
        <f>[1]előirányzat!B57</f>
        <v>Kondorfa Község Önkormányzata</v>
      </c>
      <c r="C58" s="755">
        <v>581</v>
      </c>
      <c r="D58" s="878">
        <f>'[2]2009. évi előirányzat'!M58</f>
        <v>0</v>
      </c>
      <c r="E58" s="878">
        <f>'[2]2009. évi előirányzat'!N58</f>
        <v>0</v>
      </c>
      <c r="F58" s="878">
        <f>'[2]2009. évi előirányzat'!O58</f>
        <v>0</v>
      </c>
      <c r="G58" s="878">
        <f>'[2]2010. évi előirányzat'!J58</f>
        <v>0</v>
      </c>
      <c r="H58" s="878">
        <f>'[2]2010. évi előirányzat'!K58</f>
        <v>0</v>
      </c>
      <c r="I58" s="878">
        <f>'[2]2011. évi előirányzat'!J58</f>
        <v>0</v>
      </c>
      <c r="J58" s="878">
        <f>'[2]2011. évi előirányzat'!K58</f>
        <v>0</v>
      </c>
      <c r="K58" s="878">
        <f>'[2]2012. évi előirányzat'!J58</f>
        <v>0</v>
      </c>
      <c r="L58" s="878">
        <f>'[2]2012. évi előirányzat'!K58</f>
        <v>0</v>
      </c>
      <c r="M58" s="878">
        <f>'[2]2013. előirányzat'!J58</f>
        <v>0</v>
      </c>
      <c r="N58" s="878">
        <f>'[2]2013. előirányzat'!K58</f>
        <v>0</v>
      </c>
      <c r="O58" s="878">
        <f>'[2]2014. évi előirányzat'!J58</f>
        <v>0</v>
      </c>
      <c r="P58" s="878">
        <f>'[2]2014. évi előirányzat'!K58</f>
        <v>0</v>
      </c>
      <c r="Q58" s="878">
        <f>'[2]2015. évi előirányzat'!J58</f>
        <v>0</v>
      </c>
      <c r="R58" s="878">
        <f>'[2]2015. évi előirányzat'!K58</f>
        <v>0</v>
      </c>
      <c r="S58" s="878">
        <f>'[2]2016 előirányzat'!J58</f>
        <v>0</v>
      </c>
      <c r="T58" s="878">
        <f>'[2]2016 előirányzat'!K58</f>
        <v>0</v>
      </c>
      <c r="U58" s="878">
        <f>'[2]2017. előirányzat'!J58</f>
        <v>0</v>
      </c>
      <c r="V58" s="878">
        <f>'[2]2017. előirányzat'!K58</f>
        <v>-290500</v>
      </c>
      <c r="W58" s="878">
        <f>'[2]2018. előirányzat'!J58</f>
        <v>0</v>
      </c>
      <c r="X58" s="878">
        <f>'[2]2018. előirányzat'!K58</f>
        <v>0</v>
      </c>
      <c r="Y58" s="878">
        <f>'[2]2019. előirányzat'!J58</f>
        <v>0</v>
      </c>
      <c r="Z58" s="878">
        <f>'[2]2019. előirányzat'!K58</f>
        <v>0</v>
      </c>
      <c r="AA58" s="878">
        <f>'[2]2020. előirányzat'!G58</f>
        <v>0</v>
      </c>
      <c r="AB58" s="879">
        <f t="shared" si="0"/>
        <v>0</v>
      </c>
      <c r="AC58" s="879">
        <f t="shared" si="1"/>
        <v>-290500</v>
      </c>
      <c r="AD58" s="879">
        <f t="shared" si="2"/>
        <v>0</v>
      </c>
      <c r="AE58" s="879">
        <f t="shared" si="3"/>
        <v>-290500</v>
      </c>
      <c r="AF58" s="880">
        <f t="shared" si="4"/>
        <v>0</v>
      </c>
      <c r="AG58" s="880">
        <f>AE58+(3*58100)+116200</f>
        <v>0</v>
      </c>
      <c r="AH58" s="880">
        <f t="shared" si="5"/>
        <v>0</v>
      </c>
      <c r="AI58" s="878">
        <f>'[2]2021. előirányzat'!G58</f>
        <v>0</v>
      </c>
      <c r="AJ58" s="878">
        <f>'[2]2022. előirányzat'!G58</f>
        <v>0</v>
      </c>
      <c r="AK58" s="878">
        <f>'[2]2023. előirányzat'!G58</f>
        <v>0</v>
      </c>
      <c r="AL58" s="878">
        <f>'[2]2024. előirányzat'!G58</f>
        <v>0</v>
      </c>
      <c r="AM58" s="881">
        <f t="shared" si="6"/>
        <v>0</v>
      </c>
      <c r="AN58" s="881">
        <f t="shared" si="7"/>
        <v>0</v>
      </c>
      <c r="AO58" s="881">
        <f t="shared" si="8"/>
        <v>0</v>
      </c>
      <c r="AP58" s="881">
        <f t="shared" si="9"/>
        <v>0</v>
      </c>
      <c r="AQ58" s="882"/>
      <c r="AR58" s="883"/>
      <c r="AS58" s="884"/>
      <c r="AT58" s="882"/>
      <c r="AU58" s="882" t="s">
        <v>781</v>
      </c>
      <c r="AY58" s="890"/>
    </row>
    <row r="59" spans="1:51" ht="30" x14ac:dyDescent="0.25">
      <c r="A59" s="885" t="s">
        <v>529</v>
      </c>
      <c r="B59" s="755" t="str">
        <f>[1]előirányzat!B58</f>
        <v>Körmend Város Önkormányzata</v>
      </c>
      <c r="C59" s="755">
        <v>12105</v>
      </c>
      <c r="D59" s="878">
        <f>'[2]2009. évi előirányzat'!M59</f>
        <v>0</v>
      </c>
      <c r="E59" s="878">
        <f>'[2]2009. évi előirányzat'!N59</f>
        <v>0</v>
      </c>
      <c r="F59" s="878">
        <f>'[2]2009. évi előirányzat'!O59</f>
        <v>0</v>
      </c>
      <c r="G59" s="878">
        <f>'[2]2010. évi előirányzat'!J59</f>
        <v>0</v>
      </c>
      <c r="H59" s="878">
        <f>'[2]2010. évi előirányzat'!K59</f>
        <v>0</v>
      </c>
      <c r="I59" s="878">
        <f>'[2]2011. évi előirányzat'!J59</f>
        <v>0</v>
      </c>
      <c r="J59" s="878">
        <f>'[2]2011. évi előirányzat'!K59</f>
        <v>0</v>
      </c>
      <c r="K59" s="878">
        <f>'[2]2012. évi előirányzat'!J59</f>
        <v>0</v>
      </c>
      <c r="L59" s="878">
        <f>'[2]2012. évi előirányzat'!K59</f>
        <v>0</v>
      </c>
      <c r="M59" s="878">
        <f>'[2]2013. előirányzat'!J59</f>
        <v>0</v>
      </c>
      <c r="N59" s="878">
        <f>'[2]2013. előirányzat'!K59</f>
        <v>0</v>
      </c>
      <c r="O59" s="878">
        <f>'[2]2014. évi előirányzat'!J59</f>
        <v>0</v>
      </c>
      <c r="P59" s="878">
        <f>'[2]2014. évi előirányzat'!K59</f>
        <v>0</v>
      </c>
      <c r="Q59" s="878">
        <f>'[2]2015. évi előirányzat'!J59</f>
        <v>0</v>
      </c>
      <c r="R59" s="878">
        <f>'[2]2015. évi előirányzat'!K59</f>
        <v>0</v>
      </c>
      <c r="S59" s="878">
        <f>'[2]2016 előirányzat'!J59</f>
        <v>0</v>
      </c>
      <c r="T59" s="878">
        <f>'[2]2016 előirányzat'!K59</f>
        <v>4115700</v>
      </c>
      <c r="U59" s="878">
        <f>'[2]2017. előirányzat'!J59</f>
        <v>1210500</v>
      </c>
      <c r="V59" s="878">
        <f>'[2]2017. előirányzat'!K59</f>
        <v>6052500</v>
      </c>
      <c r="W59" s="878">
        <f>'[2]2018. előirányzat'!J59</f>
        <v>1210500</v>
      </c>
      <c r="X59" s="878">
        <f>'[2]2018. előirányzat'!K59</f>
        <v>6052500</v>
      </c>
      <c r="Y59" s="878">
        <f>'[2]2019. előirányzat'!J59</f>
        <v>1210500</v>
      </c>
      <c r="Z59" s="878">
        <f>'[2]2019. előirányzat'!K59</f>
        <v>6052500</v>
      </c>
      <c r="AA59" s="878">
        <f>'[2]2020. előirányzat'!G59</f>
        <v>1210500</v>
      </c>
      <c r="AB59" s="879">
        <f t="shared" si="0"/>
        <v>4842000</v>
      </c>
      <c r="AC59" s="879">
        <f t="shared" si="1"/>
        <v>22273200</v>
      </c>
      <c r="AD59" s="879">
        <f t="shared" si="2"/>
        <v>0</v>
      </c>
      <c r="AE59" s="879">
        <f t="shared" si="3"/>
        <v>27115200</v>
      </c>
      <c r="AF59" s="880">
        <f t="shared" si="4"/>
        <v>4842000</v>
      </c>
      <c r="AG59" s="880">
        <f>AC59</f>
        <v>22273200</v>
      </c>
      <c r="AH59" s="880">
        <f t="shared" si="5"/>
        <v>27115200</v>
      </c>
      <c r="AI59" s="878">
        <f>'[2]2021. előirányzat'!G59</f>
        <v>1210500</v>
      </c>
      <c r="AJ59" s="878">
        <f>'[2]2022. előirányzat'!G59</f>
        <v>1210500</v>
      </c>
      <c r="AK59" s="878">
        <f>'[2]2023. előirányzat'!G59</f>
        <v>1210500</v>
      </c>
      <c r="AL59" s="878">
        <f>'[2]2024. előirányzat'!G59</f>
        <v>0</v>
      </c>
      <c r="AM59" s="881">
        <f t="shared" si="6"/>
        <v>8473500</v>
      </c>
      <c r="AN59" s="881">
        <f t="shared" si="7"/>
        <v>22273200</v>
      </c>
      <c r="AO59" s="881">
        <f t="shared" si="8"/>
        <v>0</v>
      </c>
      <c r="AP59" s="881">
        <f t="shared" si="9"/>
        <v>30746700</v>
      </c>
      <c r="AQ59" s="882"/>
      <c r="AR59" s="883">
        <f>V59+X59+Z59</f>
        <v>18157500</v>
      </c>
      <c r="AS59" s="884">
        <f>AP59-AR59</f>
        <v>12589200</v>
      </c>
      <c r="AT59" s="882"/>
      <c r="AU59" s="882" t="s">
        <v>786</v>
      </c>
      <c r="AX59" s="403">
        <f>AP59-AR59</f>
        <v>12589200</v>
      </c>
    </row>
    <row r="60" spans="1:51" ht="30" x14ac:dyDescent="0.25">
      <c r="A60" s="885" t="s">
        <v>530</v>
      </c>
      <c r="B60" s="757" t="str">
        <f>[1]előirányzat!B59</f>
        <v>Kőszeg Város Önkormányzata</v>
      </c>
      <c r="C60" s="755">
        <v>11604</v>
      </c>
      <c r="D60" s="878">
        <f>'[2]2009. évi előirányzat'!M60</f>
        <v>0</v>
      </c>
      <c r="E60" s="878">
        <f>'[2]2009. évi előirányzat'!N60</f>
        <v>0</v>
      </c>
      <c r="F60" s="878">
        <f>'[2]2009. évi előirányzat'!O60</f>
        <v>0</v>
      </c>
      <c r="G60" s="878">
        <f>'[2]2010. évi előirányzat'!J60</f>
        <v>0</v>
      </c>
      <c r="H60" s="878">
        <f>'[2]2010. évi előirányzat'!K60</f>
        <v>0</v>
      </c>
      <c r="I60" s="878">
        <f>'[2]2011. évi előirányzat'!J60</f>
        <v>0</v>
      </c>
      <c r="J60" s="878">
        <f>'[2]2011. évi előirányzat'!K60</f>
        <v>0</v>
      </c>
      <c r="K60" s="878">
        <f>'[2]2012. évi előirányzat'!J60</f>
        <v>0</v>
      </c>
      <c r="L60" s="878">
        <f>'[2]2012. évi előirányzat'!K60</f>
        <v>0</v>
      </c>
      <c r="M60" s="878">
        <f>'[2]2013. előirányzat'!J60</f>
        <v>0</v>
      </c>
      <c r="N60" s="878">
        <f>'[2]2013. előirányzat'!K60</f>
        <v>0</v>
      </c>
      <c r="O60" s="878">
        <f>'[2]2014. évi előirányzat'!J60</f>
        <v>0</v>
      </c>
      <c r="P60" s="878">
        <f>'[2]2014. évi előirányzat'!K60</f>
        <v>0</v>
      </c>
      <c r="Q60" s="878">
        <f>'[2]2015. évi előirányzat'!J60</f>
        <v>0</v>
      </c>
      <c r="R60" s="878">
        <f>'[2]2015. évi előirányzat'!K60</f>
        <v>0</v>
      </c>
      <c r="S60" s="878">
        <f>'[2]2016 előirányzat'!J60</f>
        <v>0</v>
      </c>
      <c r="T60" s="878">
        <f>'[2]2016 előirányzat'!K60</f>
        <v>0</v>
      </c>
      <c r="U60" s="878">
        <f>'[2]2017. előirányzat'!J60</f>
        <v>0</v>
      </c>
      <c r="V60" s="878">
        <f>'[2]2017. előirányzat'!K60</f>
        <v>0</v>
      </c>
      <c r="W60" s="878">
        <f>'[2]2018. előirányzat'!J60</f>
        <v>0</v>
      </c>
      <c r="X60" s="878">
        <f>'[2]2018. előirányzat'!K60</f>
        <v>0</v>
      </c>
      <c r="Y60" s="878">
        <f>'[2]2019. előirányzat'!J60</f>
        <v>0</v>
      </c>
      <c r="Z60" s="878">
        <f>'[2]2019. előirányzat'!K60</f>
        <v>0</v>
      </c>
      <c r="AA60" s="878">
        <f>'[2]2020. előirányzat'!G60</f>
        <v>0</v>
      </c>
      <c r="AB60" s="879">
        <f t="shared" si="0"/>
        <v>0</v>
      </c>
      <c r="AC60" s="879">
        <f t="shared" si="1"/>
        <v>0</v>
      </c>
      <c r="AD60" s="879">
        <f t="shared" si="2"/>
        <v>0</v>
      </c>
      <c r="AE60" s="879">
        <f t="shared" si="3"/>
        <v>0</v>
      </c>
      <c r="AF60" s="880">
        <f t="shared" si="4"/>
        <v>0</v>
      </c>
      <c r="AG60" s="880">
        <f>AE60</f>
        <v>0</v>
      </c>
      <c r="AH60" s="880">
        <f t="shared" si="5"/>
        <v>0</v>
      </c>
      <c r="AI60" s="878">
        <f>'[2]2021. előirányzat'!G60</f>
        <v>0</v>
      </c>
      <c r="AJ60" s="878">
        <f>'[2]2022. előirányzat'!G60</f>
        <v>0</v>
      </c>
      <c r="AK60" s="878">
        <f>'[2]2023. előirányzat'!G60</f>
        <v>0</v>
      </c>
      <c r="AL60" s="878">
        <f>'[2]2024. előirányzat'!G60</f>
        <v>0</v>
      </c>
      <c r="AM60" s="881">
        <f t="shared" si="6"/>
        <v>0</v>
      </c>
      <c r="AN60" s="881">
        <f t="shared" si="7"/>
        <v>0</v>
      </c>
      <c r="AO60" s="881">
        <f t="shared" si="8"/>
        <v>0</v>
      </c>
      <c r="AP60" s="881">
        <f t="shared" si="9"/>
        <v>0</v>
      </c>
      <c r="AQ60" s="882"/>
      <c r="AR60" s="883"/>
      <c r="AS60" s="884"/>
      <c r="AT60" s="882"/>
      <c r="AU60" s="882" t="s">
        <v>784</v>
      </c>
    </row>
    <row r="61" spans="1:51" ht="45" x14ac:dyDescent="0.25">
      <c r="A61" s="754" t="s">
        <v>531</v>
      </c>
      <c r="B61" s="757" t="str">
        <f>[1]előirányzat!B60</f>
        <v>Kőszegdoroszló Község Önkormányzata</v>
      </c>
      <c r="C61" s="755">
        <v>255</v>
      </c>
      <c r="D61" s="878">
        <f>'[2]2009. évi előirányzat'!M61</f>
        <v>0</v>
      </c>
      <c r="E61" s="878">
        <f>'[2]2009. évi előirányzat'!N61</f>
        <v>0</v>
      </c>
      <c r="F61" s="878">
        <f>'[2]2009. évi előirányzat'!O61</f>
        <v>0</v>
      </c>
      <c r="G61" s="878">
        <f>'[2]2010. évi előirányzat'!J61</f>
        <v>0</v>
      </c>
      <c r="H61" s="878">
        <f>'[2]2010. évi előirányzat'!K61</f>
        <v>0</v>
      </c>
      <c r="I61" s="878">
        <f>'[2]2011. évi előirányzat'!J61</f>
        <v>0</v>
      </c>
      <c r="J61" s="878">
        <f>'[2]2011. évi előirányzat'!K61</f>
        <v>0</v>
      </c>
      <c r="K61" s="878">
        <f>'[2]2012. évi előirányzat'!J61</f>
        <v>0</v>
      </c>
      <c r="L61" s="878">
        <f>'[2]2012. évi előirányzat'!K61</f>
        <v>0</v>
      </c>
      <c r="M61" s="878">
        <f>'[2]2013. előirányzat'!J61</f>
        <v>0</v>
      </c>
      <c r="N61" s="878">
        <f>'[2]2013. előirányzat'!K61</f>
        <v>0</v>
      </c>
      <c r="O61" s="878">
        <f>'[2]2014. évi előirányzat'!J61</f>
        <v>0</v>
      </c>
      <c r="P61" s="878">
        <f>'[2]2014. évi előirányzat'!K61</f>
        <v>0</v>
      </c>
      <c r="Q61" s="878">
        <f>'[2]2015. évi előirányzat'!J61</f>
        <v>0</v>
      </c>
      <c r="R61" s="878">
        <f>'[2]2015. évi előirányzat'!K61</f>
        <v>0</v>
      </c>
      <c r="S61" s="878">
        <f>'[2]2016 előirányzat'!J61</f>
        <v>0</v>
      </c>
      <c r="T61" s="878">
        <f>'[2]2016 előirányzat'!K61</f>
        <v>0</v>
      </c>
      <c r="U61" s="878">
        <f>'[2]2017. előirányzat'!J61</f>
        <v>0</v>
      </c>
      <c r="V61" s="878">
        <f>'[2]2017. előirányzat'!K61</f>
        <v>0</v>
      </c>
      <c r="W61" s="878">
        <f>'[2]2018. előirányzat'!J61</f>
        <v>0</v>
      </c>
      <c r="X61" s="878">
        <f>'[2]2018. előirányzat'!K61</f>
        <v>0</v>
      </c>
      <c r="Y61" s="878">
        <f>'[2]2019. előirányzat'!J61</f>
        <v>0</v>
      </c>
      <c r="Z61" s="878">
        <f>'[2]2019. előirányzat'!K61</f>
        <v>0</v>
      </c>
      <c r="AA61" s="878">
        <f>'[2]2020. előirányzat'!G61</f>
        <v>0</v>
      </c>
      <c r="AB61" s="879">
        <f t="shared" si="0"/>
        <v>0</v>
      </c>
      <c r="AC61" s="879">
        <f t="shared" si="1"/>
        <v>0</v>
      </c>
      <c r="AD61" s="879">
        <f t="shared" si="2"/>
        <v>0</v>
      </c>
      <c r="AE61" s="879">
        <f t="shared" si="3"/>
        <v>0</v>
      </c>
      <c r="AF61" s="880">
        <f t="shared" si="4"/>
        <v>0</v>
      </c>
      <c r="AG61" s="880">
        <f>AE61</f>
        <v>0</v>
      </c>
      <c r="AH61" s="880">
        <f t="shared" si="5"/>
        <v>0</v>
      </c>
      <c r="AI61" s="878">
        <f>'[2]2021. előirányzat'!G61</f>
        <v>0</v>
      </c>
      <c r="AJ61" s="878">
        <f>'[2]2022. előirányzat'!G61</f>
        <v>0</v>
      </c>
      <c r="AK61" s="878">
        <f>'[2]2023. előirányzat'!G61</f>
        <v>0</v>
      </c>
      <c r="AL61" s="878">
        <f>'[2]2024. előirányzat'!G61</f>
        <v>0</v>
      </c>
      <c r="AM61" s="881">
        <f t="shared" si="6"/>
        <v>0</v>
      </c>
      <c r="AN61" s="881">
        <f t="shared" si="7"/>
        <v>0</v>
      </c>
      <c r="AO61" s="881">
        <f t="shared" si="8"/>
        <v>0</v>
      </c>
      <c r="AP61" s="881">
        <f t="shared" si="9"/>
        <v>0</v>
      </c>
      <c r="AQ61" s="882"/>
      <c r="AR61" s="883"/>
      <c r="AS61" s="884"/>
      <c r="AT61" s="882"/>
      <c r="AU61" s="882" t="s">
        <v>784</v>
      </c>
    </row>
    <row r="62" spans="1:51" ht="30" x14ac:dyDescent="0.25">
      <c r="A62" s="885" t="s">
        <v>532</v>
      </c>
      <c r="B62" s="757" t="str">
        <f>[1]előirányzat!B61</f>
        <v>Kőszegpaty Község Önkormányzata</v>
      </c>
      <c r="C62" s="755">
        <v>200</v>
      </c>
      <c r="D62" s="878">
        <f>'[2]2009. évi előirányzat'!M62</f>
        <v>0</v>
      </c>
      <c r="E62" s="878">
        <f>'[2]2009. évi előirányzat'!N62</f>
        <v>0</v>
      </c>
      <c r="F62" s="878">
        <f>'[2]2009. évi előirányzat'!O62</f>
        <v>0</v>
      </c>
      <c r="G62" s="878">
        <f>'[2]2010. évi előirányzat'!J62</f>
        <v>0</v>
      </c>
      <c r="H62" s="878">
        <f>'[2]2010. évi előirányzat'!K62</f>
        <v>0</v>
      </c>
      <c r="I62" s="878">
        <f>'[2]2011. évi előirányzat'!J62</f>
        <v>0</v>
      </c>
      <c r="J62" s="878">
        <f>'[2]2011. évi előirányzat'!K62</f>
        <v>0</v>
      </c>
      <c r="K62" s="878">
        <f>'[2]2012. évi előirányzat'!J62</f>
        <v>0</v>
      </c>
      <c r="L62" s="878">
        <f>'[2]2012. évi előirányzat'!K62</f>
        <v>0</v>
      </c>
      <c r="M62" s="878">
        <f>'[2]2013. előirányzat'!J62</f>
        <v>0</v>
      </c>
      <c r="N62" s="878">
        <f>'[2]2013. előirányzat'!K62</f>
        <v>0</v>
      </c>
      <c r="O62" s="878">
        <f>'[2]2014. évi előirányzat'!J62</f>
        <v>0</v>
      </c>
      <c r="P62" s="878">
        <f>'[2]2014. évi előirányzat'!K62</f>
        <v>0</v>
      </c>
      <c r="Q62" s="878">
        <f>'[2]2015. évi előirányzat'!J62</f>
        <v>0</v>
      </c>
      <c r="R62" s="878">
        <f>'[2]2015. évi előirányzat'!K62</f>
        <v>0</v>
      </c>
      <c r="S62" s="878">
        <f>'[2]2016 előirányzat'!J62</f>
        <v>0</v>
      </c>
      <c r="T62" s="878">
        <f>'[2]2016 előirányzat'!K62</f>
        <v>0</v>
      </c>
      <c r="U62" s="878">
        <f>'[2]2017. előirányzat'!J62</f>
        <v>0</v>
      </c>
      <c r="V62" s="878">
        <f>'[2]2017. előirányzat'!K62</f>
        <v>0</v>
      </c>
      <c r="W62" s="878">
        <f>'[2]2018. előirányzat'!J62</f>
        <v>0</v>
      </c>
      <c r="X62" s="878">
        <f>'[2]2018. előirányzat'!K62</f>
        <v>0</v>
      </c>
      <c r="Y62" s="878">
        <f>'[2]2019. előirányzat'!J62</f>
        <v>0</v>
      </c>
      <c r="Z62" s="878">
        <f>'[2]2019. előirányzat'!K62</f>
        <v>0</v>
      </c>
      <c r="AA62" s="878">
        <f>'[2]2020. előirányzat'!G62</f>
        <v>0</v>
      </c>
      <c r="AB62" s="879">
        <f t="shared" si="0"/>
        <v>0</v>
      </c>
      <c r="AC62" s="879">
        <f t="shared" si="1"/>
        <v>0</v>
      </c>
      <c r="AD62" s="879">
        <f t="shared" si="2"/>
        <v>0</v>
      </c>
      <c r="AE62" s="879">
        <f t="shared" si="3"/>
        <v>0</v>
      </c>
      <c r="AF62" s="880">
        <f t="shared" si="4"/>
        <v>0</v>
      </c>
      <c r="AG62" s="880">
        <f>AE62</f>
        <v>0</v>
      </c>
      <c r="AH62" s="880">
        <f t="shared" si="5"/>
        <v>0</v>
      </c>
      <c r="AI62" s="878">
        <f>'[2]2021. előirányzat'!G62</f>
        <v>0</v>
      </c>
      <c r="AJ62" s="878">
        <f>'[2]2022. előirányzat'!G62</f>
        <v>0</v>
      </c>
      <c r="AK62" s="878">
        <f>'[2]2023. előirányzat'!G62</f>
        <v>0</v>
      </c>
      <c r="AL62" s="878">
        <f>'[2]2024. előirányzat'!G62</f>
        <v>0</v>
      </c>
      <c r="AM62" s="881">
        <f t="shared" si="6"/>
        <v>0</v>
      </c>
      <c r="AN62" s="881">
        <f t="shared" si="7"/>
        <v>0</v>
      </c>
      <c r="AO62" s="881">
        <f t="shared" si="8"/>
        <v>0</v>
      </c>
      <c r="AP62" s="881">
        <f t="shared" si="9"/>
        <v>0</v>
      </c>
      <c r="AQ62" s="882"/>
      <c r="AR62" s="883"/>
      <c r="AS62" s="884"/>
      <c r="AT62" s="882"/>
      <c r="AU62" s="882" t="s">
        <v>784</v>
      </c>
    </row>
    <row r="63" spans="1:51" ht="45" x14ac:dyDescent="0.25">
      <c r="A63" s="885" t="s">
        <v>533</v>
      </c>
      <c r="B63" s="757" t="str">
        <f>[1]előirányzat!B62</f>
        <v>Kőszegszerdahely Község Önkormányzata</v>
      </c>
      <c r="C63" s="755">
        <v>503</v>
      </c>
      <c r="D63" s="878">
        <f>'[2]2009. évi előirányzat'!M63</f>
        <v>0</v>
      </c>
      <c r="E63" s="878">
        <f>'[2]2009. évi előirányzat'!N63</f>
        <v>0</v>
      </c>
      <c r="F63" s="878">
        <f>'[2]2009. évi előirányzat'!O63</f>
        <v>0</v>
      </c>
      <c r="G63" s="878">
        <f>'[2]2010. évi előirányzat'!J63</f>
        <v>0</v>
      </c>
      <c r="H63" s="878">
        <f>'[2]2010. évi előirányzat'!K63</f>
        <v>0</v>
      </c>
      <c r="I63" s="878">
        <f>'[2]2011. évi előirányzat'!J63</f>
        <v>0</v>
      </c>
      <c r="J63" s="878">
        <f>'[2]2011. évi előirányzat'!K63</f>
        <v>0</v>
      </c>
      <c r="K63" s="878">
        <f>'[2]2012. évi előirányzat'!J63</f>
        <v>0</v>
      </c>
      <c r="L63" s="878">
        <f>'[2]2012. évi előirányzat'!K63</f>
        <v>0</v>
      </c>
      <c r="M63" s="878">
        <f>'[2]2013. előirányzat'!J63</f>
        <v>0</v>
      </c>
      <c r="N63" s="878">
        <f>'[2]2013. előirányzat'!K63</f>
        <v>0</v>
      </c>
      <c r="O63" s="878">
        <f>'[2]2014. évi előirányzat'!J63</f>
        <v>0</v>
      </c>
      <c r="P63" s="878">
        <f>'[2]2014. évi előirányzat'!K63</f>
        <v>0</v>
      </c>
      <c r="Q63" s="878">
        <f>'[2]2015. évi előirányzat'!J63</f>
        <v>0</v>
      </c>
      <c r="R63" s="878">
        <f>'[2]2015. évi előirányzat'!K63</f>
        <v>0</v>
      </c>
      <c r="S63" s="878">
        <f>'[2]2016 előirányzat'!J63</f>
        <v>0</v>
      </c>
      <c r="T63" s="878">
        <f>'[2]2016 előirányzat'!K63</f>
        <v>0</v>
      </c>
      <c r="U63" s="878">
        <f>'[2]2017. előirányzat'!J63</f>
        <v>0</v>
      </c>
      <c r="V63" s="878">
        <f>'[2]2017. előirányzat'!K63</f>
        <v>0</v>
      </c>
      <c r="W63" s="878">
        <f>'[2]2018. előirányzat'!J63</f>
        <v>0</v>
      </c>
      <c r="X63" s="878">
        <f>'[2]2018. előirányzat'!K63</f>
        <v>0</v>
      </c>
      <c r="Y63" s="878">
        <f>'[2]2019. előirányzat'!J63</f>
        <v>0</v>
      </c>
      <c r="Z63" s="878">
        <f>'[2]2019. előirányzat'!K63</f>
        <v>0</v>
      </c>
      <c r="AA63" s="878">
        <f>'[2]2020. előirányzat'!G63</f>
        <v>0</v>
      </c>
      <c r="AB63" s="879">
        <f t="shared" si="0"/>
        <v>0</v>
      </c>
      <c r="AC63" s="879">
        <f t="shared" si="1"/>
        <v>0</v>
      </c>
      <c r="AD63" s="879">
        <f t="shared" si="2"/>
        <v>0</v>
      </c>
      <c r="AE63" s="879">
        <f t="shared" si="3"/>
        <v>0</v>
      </c>
      <c r="AF63" s="880">
        <f t="shared" si="4"/>
        <v>0</v>
      </c>
      <c r="AG63" s="880">
        <f>AE63</f>
        <v>0</v>
      </c>
      <c r="AH63" s="880">
        <f t="shared" si="5"/>
        <v>0</v>
      </c>
      <c r="AI63" s="878">
        <f>'[2]2021. előirányzat'!G63</f>
        <v>0</v>
      </c>
      <c r="AJ63" s="878">
        <f>'[2]2022. előirányzat'!G63</f>
        <v>0</v>
      </c>
      <c r="AK63" s="878">
        <f>'[2]2023. előirányzat'!G63</f>
        <v>0</v>
      </c>
      <c r="AL63" s="878">
        <f>'[2]2024. előirányzat'!G63</f>
        <v>0</v>
      </c>
      <c r="AM63" s="881">
        <f t="shared" si="6"/>
        <v>0</v>
      </c>
      <c r="AN63" s="881">
        <f t="shared" si="7"/>
        <v>0</v>
      </c>
      <c r="AO63" s="881">
        <f t="shared" si="8"/>
        <v>0</v>
      </c>
      <c r="AP63" s="881">
        <f t="shared" si="9"/>
        <v>0</v>
      </c>
      <c r="AQ63" s="882"/>
      <c r="AR63" s="883"/>
      <c r="AS63" s="884"/>
      <c r="AT63" s="882"/>
      <c r="AU63" s="882" t="s">
        <v>784</v>
      </c>
    </row>
    <row r="64" spans="1:51" ht="30" x14ac:dyDescent="0.25">
      <c r="A64" s="754" t="s">
        <v>534</v>
      </c>
      <c r="B64" s="757" t="str">
        <f>[1]előirányzat!B63</f>
        <v>Lukácsháza Község Önkormányzata</v>
      </c>
      <c r="C64" s="755">
        <v>1080</v>
      </c>
      <c r="D64" s="878">
        <f>'[2]2009. évi előirányzat'!M64</f>
        <v>0</v>
      </c>
      <c r="E64" s="878">
        <f>'[2]2009. évi előirányzat'!N64</f>
        <v>0</v>
      </c>
      <c r="F64" s="878">
        <f>'[2]2009. évi előirányzat'!O64</f>
        <v>0</v>
      </c>
      <c r="G64" s="878">
        <f>'[2]2010. évi előirányzat'!J64</f>
        <v>0</v>
      </c>
      <c r="H64" s="878">
        <f>'[2]2010. évi előirányzat'!K64</f>
        <v>0</v>
      </c>
      <c r="I64" s="878">
        <f>'[2]2011. évi előirányzat'!J64</f>
        <v>0</v>
      </c>
      <c r="J64" s="878">
        <f>'[2]2011. évi előirányzat'!K64</f>
        <v>0</v>
      </c>
      <c r="K64" s="878">
        <f>'[2]2012. évi előirányzat'!J64</f>
        <v>0</v>
      </c>
      <c r="L64" s="878">
        <f>'[2]2012. évi előirányzat'!K64</f>
        <v>0</v>
      </c>
      <c r="M64" s="878">
        <f>'[2]2013. előirányzat'!J64</f>
        <v>0</v>
      </c>
      <c r="N64" s="878">
        <f>'[2]2013. előirányzat'!K64</f>
        <v>0</v>
      </c>
      <c r="O64" s="878">
        <f>'[2]2014. évi előirányzat'!J64</f>
        <v>0</v>
      </c>
      <c r="P64" s="878">
        <f>'[2]2014. évi előirányzat'!K64</f>
        <v>0</v>
      </c>
      <c r="Q64" s="878">
        <f>'[2]2015. évi előirányzat'!J64</f>
        <v>0</v>
      </c>
      <c r="R64" s="878">
        <f>'[2]2015. évi előirányzat'!K64</f>
        <v>0</v>
      </c>
      <c r="S64" s="878">
        <f>'[2]2016 előirányzat'!J64</f>
        <v>0</v>
      </c>
      <c r="T64" s="878">
        <f>'[2]2016 előirányzat'!K64</f>
        <v>0</v>
      </c>
      <c r="U64" s="878">
        <f>'[2]2017. előirányzat'!J64</f>
        <v>0</v>
      </c>
      <c r="V64" s="878">
        <f>'[2]2017. előirányzat'!K64</f>
        <v>0</v>
      </c>
      <c r="W64" s="878">
        <f>'[2]2018. előirányzat'!J64</f>
        <v>0</v>
      </c>
      <c r="X64" s="878">
        <f>'[2]2018. előirányzat'!K64</f>
        <v>0</v>
      </c>
      <c r="Y64" s="878">
        <f>'[2]2019. előirányzat'!J64</f>
        <v>0</v>
      </c>
      <c r="Z64" s="878">
        <f>'[2]2019. előirányzat'!K64</f>
        <v>0</v>
      </c>
      <c r="AA64" s="878">
        <f>'[2]2020. előirányzat'!G64</f>
        <v>0</v>
      </c>
      <c r="AB64" s="879">
        <f t="shared" si="0"/>
        <v>0</v>
      </c>
      <c r="AC64" s="879">
        <f t="shared" si="1"/>
        <v>0</v>
      </c>
      <c r="AD64" s="879">
        <f t="shared" si="2"/>
        <v>0</v>
      </c>
      <c r="AE64" s="879">
        <f t="shared" si="3"/>
        <v>0</v>
      </c>
      <c r="AF64" s="880">
        <f t="shared" si="4"/>
        <v>0</v>
      </c>
      <c r="AG64" s="880">
        <f>AE64</f>
        <v>0</v>
      </c>
      <c r="AH64" s="880">
        <f t="shared" si="5"/>
        <v>0</v>
      </c>
      <c r="AI64" s="878">
        <f>'[2]2021. előirányzat'!G64</f>
        <v>0</v>
      </c>
      <c r="AJ64" s="878">
        <f>'[2]2022. előirányzat'!G64</f>
        <v>0</v>
      </c>
      <c r="AK64" s="878">
        <f>'[2]2023. előirányzat'!G64</f>
        <v>0</v>
      </c>
      <c r="AL64" s="878">
        <f>'[2]2024. előirányzat'!G64</f>
        <v>0</v>
      </c>
      <c r="AM64" s="881">
        <f t="shared" si="6"/>
        <v>0</v>
      </c>
      <c r="AN64" s="881">
        <f t="shared" si="7"/>
        <v>0</v>
      </c>
      <c r="AO64" s="881">
        <f t="shared" si="8"/>
        <v>0</v>
      </c>
      <c r="AP64" s="881">
        <f t="shared" si="9"/>
        <v>0</v>
      </c>
      <c r="AQ64" s="882"/>
      <c r="AR64" s="883"/>
      <c r="AS64" s="884"/>
      <c r="AT64" s="882"/>
      <c r="AU64" s="882" t="s">
        <v>784</v>
      </c>
    </row>
    <row r="65" spans="1:47" ht="30" x14ac:dyDescent="0.25">
      <c r="A65" s="885" t="s">
        <v>535</v>
      </c>
      <c r="B65" s="755" t="str">
        <f>[1]előirányzat!B64</f>
        <v>Magyarlak  Község Önkormányzata</v>
      </c>
      <c r="C65" s="755">
        <v>736</v>
      </c>
      <c r="D65" s="878">
        <f>'[2]2009. évi előirányzat'!M65</f>
        <v>0</v>
      </c>
      <c r="E65" s="878">
        <f>'[2]2009. évi előirányzat'!N65</f>
        <v>0</v>
      </c>
      <c r="F65" s="878">
        <f>'[2]2009. évi előirányzat'!O65</f>
        <v>0</v>
      </c>
      <c r="G65" s="878">
        <f>'[2]2010. évi előirányzat'!J65</f>
        <v>0</v>
      </c>
      <c r="H65" s="878">
        <f>'[2]2010. évi előirányzat'!K65</f>
        <v>0</v>
      </c>
      <c r="I65" s="878">
        <f>'[2]2011. évi előirányzat'!J65</f>
        <v>0</v>
      </c>
      <c r="J65" s="878">
        <f>'[2]2011. évi előirányzat'!K65</f>
        <v>0</v>
      </c>
      <c r="K65" s="878">
        <f>'[2]2012. évi előirányzat'!J65</f>
        <v>0</v>
      </c>
      <c r="L65" s="878">
        <f>'[2]2012. évi előirányzat'!K65</f>
        <v>0</v>
      </c>
      <c r="M65" s="878">
        <f>'[2]2013. előirányzat'!J65</f>
        <v>0</v>
      </c>
      <c r="N65" s="878">
        <f>'[2]2013. előirányzat'!K65</f>
        <v>0</v>
      </c>
      <c r="O65" s="878">
        <f>'[2]2014. évi előirányzat'!J65</f>
        <v>0</v>
      </c>
      <c r="P65" s="878">
        <f>'[2]2014. évi előirányzat'!K65</f>
        <v>0</v>
      </c>
      <c r="Q65" s="878">
        <f>'[2]2015. évi előirányzat'!J65</f>
        <v>0</v>
      </c>
      <c r="R65" s="878">
        <f>'[2]2015. évi előirányzat'!K65</f>
        <v>0</v>
      </c>
      <c r="S65" s="878">
        <f>'[2]2016 előirányzat'!J65</f>
        <v>0</v>
      </c>
      <c r="T65" s="878">
        <f>'[2]2016 előirányzat'!K65</f>
        <v>73600</v>
      </c>
      <c r="U65" s="878">
        <f>'[2]2017. előirányzat'!J65</f>
        <v>73600.000000000015</v>
      </c>
      <c r="V65" s="878">
        <f>'[2]2017. előirányzat'!K65</f>
        <v>368000</v>
      </c>
      <c r="W65" s="878">
        <f>'[2]2018. előirányzat'!J65</f>
        <v>73600.000000000015</v>
      </c>
      <c r="X65" s="878">
        <f>'[2]2018. előirányzat'!K65</f>
        <v>368000</v>
      </c>
      <c r="Y65" s="878">
        <f>'[2]2019. előirányzat'!J65</f>
        <v>73600.000000000015</v>
      </c>
      <c r="Z65" s="878">
        <f>'[2]2019. előirányzat'!K65</f>
        <v>368000</v>
      </c>
      <c r="AA65" s="878">
        <f>'[2]2020. előirányzat'!G65</f>
        <v>73600.000000000015</v>
      </c>
      <c r="AB65" s="879">
        <f t="shared" si="0"/>
        <v>294400.00000000006</v>
      </c>
      <c r="AC65" s="879">
        <f t="shared" si="1"/>
        <v>1177600</v>
      </c>
      <c r="AD65" s="879">
        <f t="shared" si="2"/>
        <v>0</v>
      </c>
      <c r="AE65" s="879">
        <f t="shared" si="3"/>
        <v>1472000</v>
      </c>
      <c r="AF65" s="880">
        <f t="shared" si="4"/>
        <v>294400.00000000006</v>
      </c>
      <c r="AG65" s="880">
        <f>AC65</f>
        <v>1177600</v>
      </c>
      <c r="AH65" s="880">
        <f t="shared" si="5"/>
        <v>1472000</v>
      </c>
      <c r="AI65" s="878">
        <f>'[2]2021. előirányzat'!G65</f>
        <v>73600.000000000015</v>
      </c>
      <c r="AJ65" s="878">
        <f>'[2]2022. előirányzat'!G65</f>
        <v>73600.000000000015</v>
      </c>
      <c r="AK65" s="878">
        <f>'[2]2023. előirányzat'!G65</f>
        <v>73600.000000000015</v>
      </c>
      <c r="AL65" s="878">
        <f>'[2]2024. előirányzat'!G65</f>
        <v>0</v>
      </c>
      <c r="AM65" s="881">
        <f t="shared" si="6"/>
        <v>515200.00000000006</v>
      </c>
      <c r="AN65" s="881">
        <f t="shared" si="7"/>
        <v>1177600</v>
      </c>
      <c r="AO65" s="881">
        <f t="shared" si="8"/>
        <v>0</v>
      </c>
      <c r="AP65" s="881">
        <f t="shared" si="9"/>
        <v>1692800</v>
      </c>
      <c r="AQ65" s="882"/>
      <c r="AR65" s="883">
        <f>V65+X65+Z65</f>
        <v>1104000</v>
      </c>
      <c r="AS65" s="884">
        <f>AP65-AR65</f>
        <v>588800</v>
      </c>
      <c r="AT65" s="882"/>
      <c r="AU65" s="882" t="s">
        <v>787</v>
      </c>
    </row>
    <row r="66" spans="1:47" ht="45" x14ac:dyDescent="0.25">
      <c r="A66" s="885" t="s">
        <v>536</v>
      </c>
      <c r="B66" s="757" t="str">
        <f>[1]előirányzat!B65</f>
        <v>Magyarnádalja  Község Önkormányzata</v>
      </c>
      <c r="C66" s="755">
        <v>206</v>
      </c>
      <c r="D66" s="878">
        <f>'[2]2009. évi előirányzat'!M66</f>
        <v>0</v>
      </c>
      <c r="E66" s="878">
        <f>'[2]2009. évi előirányzat'!N66</f>
        <v>0</v>
      </c>
      <c r="F66" s="878">
        <f>'[2]2009. évi előirányzat'!O66</f>
        <v>0</v>
      </c>
      <c r="G66" s="878">
        <f>'[2]2010. évi előirányzat'!J66</f>
        <v>0</v>
      </c>
      <c r="H66" s="878">
        <f>'[2]2010. évi előirányzat'!K66</f>
        <v>0</v>
      </c>
      <c r="I66" s="878">
        <f>'[2]2011. évi előirányzat'!J66</f>
        <v>0</v>
      </c>
      <c r="J66" s="878">
        <f>'[2]2011. évi előirányzat'!K66</f>
        <v>0</v>
      </c>
      <c r="K66" s="878">
        <f>'[2]2012. évi előirányzat'!J66</f>
        <v>0</v>
      </c>
      <c r="L66" s="878">
        <f>'[2]2012. évi előirányzat'!K66</f>
        <v>0</v>
      </c>
      <c r="M66" s="878">
        <f>'[2]2013. előirányzat'!J66</f>
        <v>0</v>
      </c>
      <c r="N66" s="878">
        <f>'[2]2013. előirányzat'!K66</f>
        <v>0</v>
      </c>
      <c r="O66" s="878">
        <f>'[2]2014. évi előirányzat'!J66</f>
        <v>0</v>
      </c>
      <c r="P66" s="878">
        <f>'[2]2014. évi előirányzat'!K66</f>
        <v>0</v>
      </c>
      <c r="Q66" s="878">
        <f>'[2]2015. évi előirányzat'!J66</f>
        <v>0</v>
      </c>
      <c r="R66" s="878">
        <f>'[2]2015. évi előirányzat'!K66</f>
        <v>0</v>
      </c>
      <c r="S66" s="878">
        <f>'[2]2016 előirányzat'!J66</f>
        <v>0</v>
      </c>
      <c r="T66" s="878">
        <f>'[2]2016 előirányzat'!K66</f>
        <v>0</v>
      </c>
      <c r="U66" s="878">
        <f>'[2]2017. előirányzat'!J66</f>
        <v>0</v>
      </c>
      <c r="V66" s="878">
        <f>'[2]2017. előirányzat'!K66</f>
        <v>-103000</v>
      </c>
      <c r="W66" s="878">
        <f>'[2]2018. előirányzat'!J66</f>
        <v>0</v>
      </c>
      <c r="X66" s="878">
        <f>'[2]2018. előirányzat'!K66</f>
        <v>0</v>
      </c>
      <c r="Y66" s="878">
        <f>'[2]2019. előirányzat'!J66</f>
        <v>0</v>
      </c>
      <c r="Z66" s="878">
        <f>'[2]2019. előirányzat'!K66</f>
        <v>0</v>
      </c>
      <c r="AA66" s="878">
        <f>'[2]2020. előirányzat'!G66</f>
        <v>0</v>
      </c>
      <c r="AB66" s="879">
        <f t="shared" si="0"/>
        <v>0</v>
      </c>
      <c r="AC66" s="879">
        <f t="shared" si="1"/>
        <v>-103000</v>
      </c>
      <c r="AD66" s="879">
        <f t="shared" si="2"/>
        <v>0</v>
      </c>
      <c r="AE66" s="879">
        <f t="shared" si="3"/>
        <v>-103000</v>
      </c>
      <c r="AF66" s="880">
        <f t="shared" si="4"/>
        <v>0</v>
      </c>
      <c r="AG66" s="880">
        <f>AE66+(3*20600)+41200</f>
        <v>0</v>
      </c>
      <c r="AH66" s="880">
        <f t="shared" si="5"/>
        <v>0</v>
      </c>
      <c r="AI66" s="878">
        <f>'[2]2021. előirányzat'!G66</f>
        <v>0</v>
      </c>
      <c r="AJ66" s="878">
        <f>'[2]2022. előirányzat'!G66</f>
        <v>0</v>
      </c>
      <c r="AK66" s="878">
        <f>'[2]2023. előirányzat'!G66</f>
        <v>0</v>
      </c>
      <c r="AL66" s="878">
        <f>'[2]2024. előirányzat'!G66</f>
        <v>0</v>
      </c>
      <c r="AM66" s="881">
        <f t="shared" si="6"/>
        <v>0</v>
      </c>
      <c r="AN66" s="881">
        <f t="shared" si="7"/>
        <v>0</v>
      </c>
      <c r="AO66" s="881">
        <f t="shared" si="8"/>
        <v>0</v>
      </c>
      <c r="AP66" s="881">
        <f t="shared" si="9"/>
        <v>0</v>
      </c>
      <c r="AQ66" s="882"/>
      <c r="AR66" s="883"/>
      <c r="AS66" s="884"/>
      <c r="AT66" s="882"/>
      <c r="AU66" s="882" t="s">
        <v>786</v>
      </c>
    </row>
    <row r="67" spans="1:47" ht="45" x14ac:dyDescent="0.25">
      <c r="A67" s="754" t="s">
        <v>537</v>
      </c>
      <c r="B67" s="757" t="str">
        <f>[1]előirányzat!B66</f>
        <v>Magyarszecsőd  Község Önkormányzata</v>
      </c>
      <c r="C67" s="755">
        <v>455</v>
      </c>
      <c r="D67" s="878">
        <f>'[2]2009. évi előirányzat'!M67</f>
        <v>0</v>
      </c>
      <c r="E67" s="878">
        <f>'[2]2009. évi előirányzat'!N67</f>
        <v>0</v>
      </c>
      <c r="F67" s="878">
        <f>'[2]2009. évi előirányzat'!O67</f>
        <v>0</v>
      </c>
      <c r="G67" s="878">
        <f>'[2]2010. évi előirányzat'!J67</f>
        <v>0</v>
      </c>
      <c r="H67" s="878">
        <f>'[2]2010. évi előirányzat'!K67</f>
        <v>0</v>
      </c>
      <c r="I67" s="878">
        <f>'[2]2011. évi előirányzat'!J67</f>
        <v>0</v>
      </c>
      <c r="J67" s="878">
        <f>'[2]2011. évi előirányzat'!K67</f>
        <v>0</v>
      </c>
      <c r="K67" s="878">
        <f>'[2]2012. évi előirányzat'!J67</f>
        <v>0</v>
      </c>
      <c r="L67" s="878">
        <f>'[2]2012. évi előirányzat'!K67</f>
        <v>0</v>
      </c>
      <c r="M67" s="878">
        <f>'[2]2013. előirányzat'!J67</f>
        <v>0</v>
      </c>
      <c r="N67" s="878">
        <f>'[2]2013. előirányzat'!K67</f>
        <v>0</v>
      </c>
      <c r="O67" s="878">
        <f>'[2]2014. évi előirányzat'!J67</f>
        <v>0</v>
      </c>
      <c r="P67" s="878">
        <f>'[2]2014. évi előirányzat'!K67</f>
        <v>0</v>
      </c>
      <c r="Q67" s="878">
        <f>'[2]2015. évi előirányzat'!J67</f>
        <v>0</v>
      </c>
      <c r="R67" s="878">
        <f>'[2]2015. évi előirányzat'!K67</f>
        <v>0</v>
      </c>
      <c r="S67" s="878">
        <f>'[2]2016 előirányzat'!J67</f>
        <v>0</v>
      </c>
      <c r="T67" s="878">
        <f>'[2]2016 előirányzat'!K67</f>
        <v>0</v>
      </c>
      <c r="U67" s="878">
        <f>'[2]2017. előirányzat'!J67</f>
        <v>0</v>
      </c>
      <c r="V67" s="878">
        <f>'[2]2017. előirányzat'!K67</f>
        <v>-227500</v>
      </c>
      <c r="W67" s="878">
        <f>'[2]2018. előirányzat'!J67</f>
        <v>0</v>
      </c>
      <c r="X67" s="878">
        <f>'[2]2018. előirányzat'!K67</f>
        <v>0</v>
      </c>
      <c r="Y67" s="878">
        <f>'[2]2019. előirányzat'!J67</f>
        <v>0</v>
      </c>
      <c r="Z67" s="878">
        <f>'[2]2019. előirányzat'!K67</f>
        <v>0</v>
      </c>
      <c r="AA67" s="878">
        <f>'[2]2020. előirányzat'!G67</f>
        <v>0</v>
      </c>
      <c r="AB67" s="879">
        <f t="shared" si="0"/>
        <v>0</v>
      </c>
      <c r="AC67" s="879">
        <f t="shared" si="1"/>
        <v>-227500</v>
      </c>
      <c r="AD67" s="879">
        <f t="shared" si="2"/>
        <v>0</v>
      </c>
      <c r="AE67" s="879">
        <f t="shared" si="3"/>
        <v>-227500</v>
      </c>
      <c r="AF67" s="880">
        <f t="shared" si="4"/>
        <v>0</v>
      </c>
      <c r="AG67" s="880">
        <f>AE67+(3*45500)+91000</f>
        <v>0</v>
      </c>
      <c r="AH67" s="880">
        <f t="shared" si="5"/>
        <v>0</v>
      </c>
      <c r="AI67" s="878">
        <f>'[2]2021. előirányzat'!G67</f>
        <v>0</v>
      </c>
      <c r="AJ67" s="878">
        <f>'[2]2022. előirányzat'!G67</f>
        <v>0</v>
      </c>
      <c r="AK67" s="878">
        <f>'[2]2023. előirányzat'!G67</f>
        <v>0</v>
      </c>
      <c r="AL67" s="878">
        <f>'[2]2024. előirányzat'!G67</f>
        <v>0</v>
      </c>
      <c r="AM67" s="881">
        <f t="shared" si="6"/>
        <v>0</v>
      </c>
      <c r="AN67" s="881">
        <f t="shared" si="7"/>
        <v>0</v>
      </c>
      <c r="AO67" s="881">
        <f t="shared" si="8"/>
        <v>0</v>
      </c>
      <c r="AP67" s="881">
        <f t="shared" si="9"/>
        <v>0</v>
      </c>
      <c r="AQ67" s="882"/>
      <c r="AR67" s="883"/>
      <c r="AS67" s="884"/>
      <c r="AT67" s="882"/>
      <c r="AU67" s="882" t="s">
        <v>786</v>
      </c>
    </row>
    <row r="68" spans="1:47" ht="45" x14ac:dyDescent="0.25">
      <c r="A68" s="885" t="s">
        <v>538</v>
      </c>
      <c r="B68" s="757" t="str">
        <f>[1]előirányzat!B67</f>
        <v>Magyarszombatfa  Község Önkormányzata</v>
      </c>
      <c r="C68" s="755">
        <v>283</v>
      </c>
      <c r="D68" s="878">
        <f>'[2]2009. évi előirányzat'!M68</f>
        <v>0</v>
      </c>
      <c r="E68" s="878">
        <f>'[2]2009. évi előirányzat'!N68</f>
        <v>0</v>
      </c>
      <c r="F68" s="878">
        <f>'[2]2009. évi előirányzat'!O68</f>
        <v>0</v>
      </c>
      <c r="G68" s="878">
        <f>'[2]2010. évi előirányzat'!J68</f>
        <v>0</v>
      </c>
      <c r="H68" s="878">
        <f>'[2]2010. évi előirányzat'!K68</f>
        <v>0</v>
      </c>
      <c r="I68" s="878">
        <f>'[2]2011. évi előirányzat'!J68</f>
        <v>0</v>
      </c>
      <c r="J68" s="878">
        <f>'[2]2011. évi előirányzat'!K68</f>
        <v>0</v>
      </c>
      <c r="K68" s="878">
        <f>'[2]2012. évi előirányzat'!J68</f>
        <v>0</v>
      </c>
      <c r="L68" s="878">
        <f>'[2]2012. évi előirányzat'!K68</f>
        <v>0</v>
      </c>
      <c r="M68" s="878">
        <f>'[2]2013. előirányzat'!J68</f>
        <v>0</v>
      </c>
      <c r="N68" s="878">
        <f>'[2]2013. előirányzat'!K68</f>
        <v>0</v>
      </c>
      <c r="O68" s="878">
        <f>'[2]2014. évi előirányzat'!J68</f>
        <v>0</v>
      </c>
      <c r="P68" s="878">
        <f>'[2]2014. évi előirányzat'!K68</f>
        <v>0</v>
      </c>
      <c r="Q68" s="878">
        <f>'[2]2015. évi előirányzat'!J68</f>
        <v>0</v>
      </c>
      <c r="R68" s="878">
        <f>'[2]2015. évi előirányzat'!K68</f>
        <v>0</v>
      </c>
      <c r="S68" s="878">
        <f>'[2]2016 előirányzat'!J68</f>
        <v>0</v>
      </c>
      <c r="T68" s="878">
        <f>'[2]2016 előirányzat'!K68</f>
        <v>0</v>
      </c>
      <c r="U68" s="878">
        <f>'[2]2017. előirányzat'!J68</f>
        <v>0</v>
      </c>
      <c r="V68" s="878">
        <f>'[2]2017. előirányzat'!K68</f>
        <v>-141500</v>
      </c>
      <c r="W68" s="878">
        <f>'[2]2018. előirányzat'!J68</f>
        <v>0</v>
      </c>
      <c r="X68" s="878">
        <f>'[2]2018. előirányzat'!K68</f>
        <v>-141500</v>
      </c>
      <c r="Y68" s="878">
        <f>'[2]2019. előirányzat'!J68</f>
        <v>0</v>
      </c>
      <c r="Z68" s="878">
        <f>'[2]2019. előirányzat'!K68</f>
        <v>0</v>
      </c>
      <c r="AA68" s="878">
        <f>'[2]2020. előirányzat'!G68</f>
        <v>0</v>
      </c>
      <c r="AB68" s="879">
        <f t="shared" si="0"/>
        <v>0</v>
      </c>
      <c r="AC68" s="879">
        <f t="shared" si="1"/>
        <v>-283000</v>
      </c>
      <c r="AD68" s="879">
        <f t="shared" si="2"/>
        <v>0</v>
      </c>
      <c r="AE68" s="879">
        <f t="shared" si="3"/>
        <v>-283000</v>
      </c>
      <c r="AF68" s="880">
        <f t="shared" si="4"/>
        <v>0</v>
      </c>
      <c r="AG68" s="880">
        <f>AE68+(2*28300)+226400</f>
        <v>0</v>
      </c>
      <c r="AH68" s="880">
        <f t="shared" si="5"/>
        <v>0</v>
      </c>
      <c r="AI68" s="878">
        <f>'[2]2021. előirányzat'!G68</f>
        <v>0</v>
      </c>
      <c r="AJ68" s="878">
        <f>'[2]2022. előirányzat'!G68</f>
        <v>0</v>
      </c>
      <c r="AK68" s="878">
        <f>'[2]2023. előirányzat'!G68</f>
        <v>0</v>
      </c>
      <c r="AL68" s="878">
        <f>'[2]2024. előirányzat'!G68</f>
        <v>0</v>
      </c>
      <c r="AM68" s="881">
        <f t="shared" si="6"/>
        <v>0</v>
      </c>
      <c r="AN68" s="881">
        <f t="shared" si="7"/>
        <v>0</v>
      </c>
      <c r="AO68" s="881">
        <f t="shared" si="8"/>
        <v>0</v>
      </c>
      <c r="AP68" s="881">
        <f t="shared" si="9"/>
        <v>0</v>
      </c>
      <c r="AQ68" s="882"/>
      <c r="AR68" s="883"/>
      <c r="AS68" s="884"/>
      <c r="AT68" s="882"/>
      <c r="AU68" s="882" t="s">
        <v>781</v>
      </c>
    </row>
    <row r="69" spans="1:47" ht="30" x14ac:dyDescent="0.25">
      <c r="A69" s="885" t="s">
        <v>539</v>
      </c>
      <c r="B69" s="757" t="str">
        <f>[1]előirányzat!B68</f>
        <v>Megyehíd  Község Önkormányzata</v>
      </c>
      <c r="C69" s="755">
        <v>362</v>
      </c>
      <c r="D69" s="878">
        <f>'[2]2009. évi előirányzat'!M69</f>
        <v>0</v>
      </c>
      <c r="E69" s="878">
        <f>'[2]2009. évi előirányzat'!N69</f>
        <v>0</v>
      </c>
      <c r="F69" s="878">
        <f>'[2]2009. évi előirányzat'!O69</f>
        <v>0</v>
      </c>
      <c r="G69" s="878">
        <f>'[2]2010. évi előirányzat'!J69</f>
        <v>0</v>
      </c>
      <c r="H69" s="878">
        <f>'[2]2010. évi előirányzat'!K69</f>
        <v>0</v>
      </c>
      <c r="I69" s="878">
        <f>'[2]2011. évi előirányzat'!J69</f>
        <v>0</v>
      </c>
      <c r="J69" s="878">
        <f>'[2]2011. évi előirányzat'!K69</f>
        <v>0</v>
      </c>
      <c r="K69" s="878">
        <f>'[2]2012. évi előirányzat'!J69</f>
        <v>0</v>
      </c>
      <c r="L69" s="878">
        <f>'[2]2012. évi előirányzat'!K69</f>
        <v>0</v>
      </c>
      <c r="M69" s="878">
        <f>'[2]2013. előirányzat'!J69</f>
        <v>0</v>
      </c>
      <c r="N69" s="878">
        <f>'[2]2013. előirányzat'!K69</f>
        <v>0</v>
      </c>
      <c r="O69" s="878">
        <f>'[2]2014. évi előirányzat'!J69</f>
        <v>0</v>
      </c>
      <c r="P69" s="878">
        <f>'[2]2014. évi előirányzat'!K69</f>
        <v>0</v>
      </c>
      <c r="Q69" s="878">
        <f>'[2]2015. évi előirányzat'!J69</f>
        <v>0</v>
      </c>
      <c r="R69" s="878">
        <f>'[2]2015. évi előirányzat'!K69</f>
        <v>0</v>
      </c>
      <c r="S69" s="878">
        <f>'[2]2016 előirányzat'!J69</f>
        <v>0</v>
      </c>
      <c r="T69" s="878">
        <f>'[2]2016 előirányzat'!K69</f>
        <v>0</v>
      </c>
      <c r="U69" s="878">
        <f>'[2]2017. előirányzat'!J69</f>
        <v>0</v>
      </c>
      <c r="V69" s="878">
        <f>'[2]2017. előirányzat'!K69</f>
        <v>-181000</v>
      </c>
      <c r="W69" s="878">
        <f>'[2]2018. előirányzat'!J69</f>
        <v>0</v>
      </c>
      <c r="X69" s="878">
        <f>'[2]2018. előirányzat'!K69</f>
        <v>-181000</v>
      </c>
      <c r="Y69" s="878">
        <f>'[2]2019. előirányzat'!J69</f>
        <v>0</v>
      </c>
      <c r="Z69" s="878">
        <f>'[2]2019. előirányzat'!K69</f>
        <v>-181000</v>
      </c>
      <c r="AA69" s="878">
        <f>'[2]2020. előirányzat'!G69</f>
        <v>0</v>
      </c>
      <c r="AB69" s="879">
        <f t="shared" ref="AB69:AB132" si="10">D69+G69+I69+K69+M69+O69+Q69+S69+U69+W69+Y69+AA69</f>
        <v>0</v>
      </c>
      <c r="AC69" s="879">
        <f t="shared" ref="AC69:AC132" si="11">E69+H69+J69+L69+N69+P69+R69+T69+V69+X69+Z69</f>
        <v>-543000</v>
      </c>
      <c r="AD69" s="879">
        <f t="shared" ref="AD69:AD132" si="12">F69</f>
        <v>0</v>
      </c>
      <c r="AE69" s="879">
        <f t="shared" ref="AE69:AE132" si="13">AB69+AC69+AD69</f>
        <v>-543000</v>
      </c>
      <c r="AF69" s="880">
        <f t="shared" ref="AF69:AF132" si="14">AB69</f>
        <v>0</v>
      </c>
      <c r="AG69" s="880">
        <f>AE69+36200+506800</f>
        <v>0</v>
      </c>
      <c r="AH69" s="880">
        <f t="shared" ref="AH69:AH132" si="15">AF69+AG69</f>
        <v>0</v>
      </c>
      <c r="AI69" s="878">
        <f>'[2]2021. előirányzat'!G69</f>
        <v>0</v>
      </c>
      <c r="AJ69" s="878">
        <f>'[2]2022. előirányzat'!G69</f>
        <v>0</v>
      </c>
      <c r="AK69" s="878">
        <f>'[2]2023. előirányzat'!G69</f>
        <v>0</v>
      </c>
      <c r="AL69" s="878">
        <f>'[2]2024. előirányzat'!G69</f>
        <v>0</v>
      </c>
      <c r="AM69" s="881">
        <f t="shared" ref="AM69:AM132" si="16">AF69+AI69+AJ69+AK69+AL69</f>
        <v>0</v>
      </c>
      <c r="AN69" s="881">
        <f t="shared" ref="AN69:AN132" si="17">AG69</f>
        <v>0</v>
      </c>
      <c r="AO69" s="881">
        <f t="shared" ref="AO69:AO132" si="18">AD69</f>
        <v>0</v>
      </c>
      <c r="AP69" s="881">
        <f t="shared" ref="AP69:AP132" si="19">AM69+AN69+AO69</f>
        <v>0</v>
      </c>
      <c r="AQ69" s="882"/>
      <c r="AR69" s="883"/>
      <c r="AS69" s="884"/>
      <c r="AT69" s="882"/>
      <c r="AU69" s="882" t="s">
        <v>783</v>
      </c>
    </row>
    <row r="70" spans="1:47" ht="30" x14ac:dyDescent="0.25">
      <c r="A70" s="754" t="s">
        <v>540</v>
      </c>
      <c r="B70" s="759" t="str">
        <f>[1]előirányzat!B69</f>
        <v>Meszlen  Község Önkormányzata</v>
      </c>
      <c r="C70" s="755">
        <v>241</v>
      </c>
      <c r="D70" s="878">
        <f>'[2]2009. évi előirányzat'!M70</f>
        <v>0</v>
      </c>
      <c r="E70" s="878">
        <f>'[2]2009. évi előirányzat'!N70</f>
        <v>0</v>
      </c>
      <c r="F70" s="878">
        <f>'[2]2009. évi előirányzat'!O70</f>
        <v>0</v>
      </c>
      <c r="G70" s="878">
        <f>'[2]2010. évi előirányzat'!J70</f>
        <v>0</v>
      </c>
      <c r="H70" s="878">
        <f>'[2]2010. évi előirányzat'!K70</f>
        <v>0</v>
      </c>
      <c r="I70" s="878">
        <f>'[2]2011. évi előirányzat'!J70</f>
        <v>0</v>
      </c>
      <c r="J70" s="878">
        <f>'[2]2011. évi előirányzat'!K70</f>
        <v>0</v>
      </c>
      <c r="K70" s="878">
        <f>'[2]2012. évi előirányzat'!J70</f>
        <v>0</v>
      </c>
      <c r="L70" s="878">
        <f>'[2]2012. évi előirányzat'!K70</f>
        <v>0</v>
      </c>
      <c r="M70" s="878">
        <f>'[2]2013. előirányzat'!J70</f>
        <v>0</v>
      </c>
      <c r="N70" s="878">
        <f>'[2]2013. előirányzat'!K70</f>
        <v>0</v>
      </c>
      <c r="O70" s="878">
        <f>'[2]2014. évi előirányzat'!J70</f>
        <v>0</v>
      </c>
      <c r="P70" s="878">
        <f>'[2]2014. évi előirányzat'!K70</f>
        <v>0</v>
      </c>
      <c r="Q70" s="878">
        <f>'[2]2015. évi előirányzat'!J70</f>
        <v>0</v>
      </c>
      <c r="R70" s="878">
        <f>'[2]2015. évi előirányzat'!K70</f>
        <v>0</v>
      </c>
      <c r="S70" s="878">
        <f>'[2]2016 előirányzat'!J70</f>
        <v>0</v>
      </c>
      <c r="T70" s="878">
        <f>'[2]2016 előirányzat'!K70</f>
        <v>0</v>
      </c>
      <c r="U70" s="878">
        <f>'[2]2017. előirányzat'!J70</f>
        <v>0</v>
      </c>
      <c r="V70" s="878">
        <f>'[2]2017. előirányzat'!K70</f>
        <v>0</v>
      </c>
      <c r="W70" s="878">
        <f>'[2]2018. előirányzat'!J70</f>
        <v>0</v>
      </c>
      <c r="X70" s="878">
        <f>'[2]2018. előirányzat'!K70</f>
        <v>0</v>
      </c>
      <c r="Y70" s="878">
        <f>'[2]2019. előirányzat'!J70</f>
        <v>0</v>
      </c>
      <c r="Z70" s="878">
        <f>'[2]2019. előirányzat'!K70</f>
        <v>0</v>
      </c>
      <c r="AA70" s="878">
        <f>'[2]2020. előirányzat'!G70</f>
        <v>0</v>
      </c>
      <c r="AB70" s="879">
        <f t="shared" si="10"/>
        <v>0</v>
      </c>
      <c r="AC70" s="879">
        <f t="shared" si="11"/>
        <v>0</v>
      </c>
      <c r="AD70" s="879">
        <f t="shared" si="12"/>
        <v>0</v>
      </c>
      <c r="AE70" s="879">
        <f t="shared" si="13"/>
        <v>0</v>
      </c>
      <c r="AF70" s="880">
        <f t="shared" si="14"/>
        <v>0</v>
      </c>
      <c r="AG70" s="880">
        <f>AC70</f>
        <v>0</v>
      </c>
      <c r="AH70" s="880">
        <f t="shared" si="15"/>
        <v>0</v>
      </c>
      <c r="AI70" s="878">
        <f>'[2]2021. előirányzat'!G70</f>
        <v>0</v>
      </c>
      <c r="AJ70" s="878">
        <f>'[2]2022. előirányzat'!G70</f>
        <v>0</v>
      </c>
      <c r="AK70" s="878">
        <f>'[2]2023. előirányzat'!G70</f>
        <v>0</v>
      </c>
      <c r="AL70" s="878">
        <f>'[2]2024. előirányzat'!G70</f>
        <v>0</v>
      </c>
      <c r="AM70" s="881">
        <f t="shared" si="16"/>
        <v>0</v>
      </c>
      <c r="AN70" s="881">
        <f t="shared" si="17"/>
        <v>0</v>
      </c>
      <c r="AO70" s="881">
        <f t="shared" si="18"/>
        <v>0</v>
      </c>
      <c r="AP70" s="881">
        <f t="shared" si="19"/>
        <v>0</v>
      </c>
      <c r="AQ70" s="882">
        <f>120500*3</f>
        <v>361500</v>
      </c>
      <c r="AR70" s="883">
        <f>V70+X70+Z70</f>
        <v>0</v>
      </c>
      <c r="AS70" s="884">
        <f>AP70-AR70</f>
        <v>0</v>
      </c>
      <c r="AT70" s="882" t="s">
        <v>782</v>
      </c>
      <c r="AU70" s="882" t="s">
        <v>788</v>
      </c>
    </row>
    <row r="71" spans="1:47" ht="45" x14ac:dyDescent="0.25">
      <c r="A71" s="885" t="s">
        <v>554</v>
      </c>
      <c r="B71" s="757" t="str">
        <f>[1]előirányzat!B70</f>
        <v>Mikosszéplak  Község Önkormányzata</v>
      </c>
      <c r="C71" s="755">
        <v>344</v>
      </c>
      <c r="D71" s="878">
        <f>'[2]2009. évi előirányzat'!M71</f>
        <v>0</v>
      </c>
      <c r="E71" s="878">
        <f>'[2]2009. évi előirányzat'!N71</f>
        <v>0</v>
      </c>
      <c r="F71" s="878">
        <f>'[2]2009. évi előirányzat'!O71</f>
        <v>0</v>
      </c>
      <c r="G71" s="878">
        <f>'[2]2010. évi előirányzat'!J71</f>
        <v>0</v>
      </c>
      <c r="H71" s="878">
        <f>'[2]2010. évi előirányzat'!K71</f>
        <v>0</v>
      </c>
      <c r="I71" s="878">
        <f>'[2]2011. évi előirányzat'!J71</f>
        <v>0</v>
      </c>
      <c r="J71" s="878">
        <f>'[2]2011. évi előirányzat'!K71</f>
        <v>0</v>
      </c>
      <c r="K71" s="878">
        <f>'[2]2012. évi előirányzat'!J71</f>
        <v>0</v>
      </c>
      <c r="L71" s="878">
        <f>'[2]2012. évi előirányzat'!K71</f>
        <v>0</v>
      </c>
      <c r="M71" s="878">
        <f>'[2]2013. előirányzat'!J71</f>
        <v>0</v>
      </c>
      <c r="N71" s="878">
        <f>'[2]2013. előirányzat'!K71</f>
        <v>0</v>
      </c>
      <c r="O71" s="878">
        <f>'[2]2014. évi előirányzat'!J71</f>
        <v>0</v>
      </c>
      <c r="P71" s="878">
        <f>'[2]2014. évi előirányzat'!K71</f>
        <v>0</v>
      </c>
      <c r="Q71" s="878">
        <f>'[2]2015. évi előirányzat'!J71</f>
        <v>0</v>
      </c>
      <c r="R71" s="878">
        <f>'[2]2015. évi előirányzat'!K71</f>
        <v>0</v>
      </c>
      <c r="S71" s="878">
        <f>'[2]2016 előirányzat'!J71</f>
        <v>0</v>
      </c>
      <c r="T71" s="878">
        <f>'[2]2016 előirányzat'!K71</f>
        <v>0</v>
      </c>
      <c r="U71" s="878">
        <f>'[2]2017. előirányzat'!J71</f>
        <v>0</v>
      </c>
      <c r="V71" s="878">
        <f>'[2]2017. előirányzat'!K71</f>
        <v>-172000</v>
      </c>
      <c r="W71" s="878">
        <f>'[2]2018. előirányzat'!J71</f>
        <v>0</v>
      </c>
      <c r="X71" s="878">
        <f>'[2]2018. előirányzat'!K71</f>
        <v>-172000</v>
      </c>
      <c r="Y71" s="878">
        <f>'[2]2019. előirányzat'!J71</f>
        <v>0</v>
      </c>
      <c r="Z71" s="878">
        <f>'[2]2019. előirányzat'!K71</f>
        <v>0</v>
      </c>
      <c r="AA71" s="878">
        <f>'[2]2020. előirányzat'!G71</f>
        <v>0</v>
      </c>
      <c r="AB71" s="879">
        <f t="shared" si="10"/>
        <v>0</v>
      </c>
      <c r="AC71" s="879">
        <f t="shared" si="11"/>
        <v>-344000</v>
      </c>
      <c r="AD71" s="879">
        <f t="shared" si="12"/>
        <v>0</v>
      </c>
      <c r="AE71" s="879">
        <f t="shared" si="13"/>
        <v>-344000</v>
      </c>
      <c r="AF71" s="880">
        <f t="shared" si="14"/>
        <v>0</v>
      </c>
      <c r="AG71" s="880">
        <f>AE71+(2*34400)+275200</f>
        <v>0</v>
      </c>
      <c r="AH71" s="880">
        <f t="shared" si="15"/>
        <v>0</v>
      </c>
      <c r="AI71" s="878">
        <f>'[2]2021. előirányzat'!G71</f>
        <v>0</v>
      </c>
      <c r="AJ71" s="878">
        <f>'[2]2022. előirányzat'!G71</f>
        <v>0</v>
      </c>
      <c r="AK71" s="878">
        <f>'[2]2023. előirányzat'!G71</f>
        <v>0</v>
      </c>
      <c r="AL71" s="878">
        <f>'[2]2024. előirányzat'!G71</f>
        <v>0</v>
      </c>
      <c r="AM71" s="881">
        <f t="shared" si="16"/>
        <v>0</v>
      </c>
      <c r="AN71" s="881">
        <f t="shared" si="17"/>
        <v>0</v>
      </c>
      <c r="AO71" s="881">
        <f t="shared" si="18"/>
        <v>0</v>
      </c>
      <c r="AP71" s="881">
        <f t="shared" si="19"/>
        <v>0</v>
      </c>
      <c r="AQ71" s="882"/>
      <c r="AR71" s="883"/>
      <c r="AS71" s="884"/>
      <c r="AT71" s="882"/>
      <c r="AU71" s="882" t="s">
        <v>780</v>
      </c>
    </row>
    <row r="72" spans="1:47" ht="45" x14ac:dyDescent="0.25">
      <c r="A72" s="885" t="s">
        <v>555</v>
      </c>
      <c r="B72" s="757" t="str">
        <f>[1]előirányzat!B71</f>
        <v>Molnaszecsőd  Község Önkormányzata</v>
      </c>
      <c r="C72" s="755">
        <v>431</v>
      </c>
      <c r="D72" s="878">
        <f>'[2]2009. évi előirányzat'!M72</f>
        <v>0</v>
      </c>
      <c r="E72" s="878">
        <f>'[2]2009. évi előirányzat'!N72</f>
        <v>0</v>
      </c>
      <c r="F72" s="878">
        <f>'[2]2009. évi előirányzat'!O72</f>
        <v>0</v>
      </c>
      <c r="G72" s="878">
        <f>'[2]2010. évi előirányzat'!J72</f>
        <v>0</v>
      </c>
      <c r="H72" s="878">
        <f>'[2]2010. évi előirányzat'!K72</f>
        <v>0</v>
      </c>
      <c r="I72" s="878">
        <f>'[2]2011. évi előirányzat'!J72</f>
        <v>0</v>
      </c>
      <c r="J72" s="878">
        <f>'[2]2011. évi előirányzat'!K72</f>
        <v>0</v>
      </c>
      <c r="K72" s="878">
        <f>'[2]2012. évi előirányzat'!J72</f>
        <v>0</v>
      </c>
      <c r="L72" s="878">
        <f>'[2]2012. évi előirányzat'!K72</f>
        <v>0</v>
      </c>
      <c r="M72" s="878">
        <f>'[2]2013. előirányzat'!J72</f>
        <v>0</v>
      </c>
      <c r="N72" s="878">
        <f>'[2]2013. előirányzat'!K72</f>
        <v>0</v>
      </c>
      <c r="O72" s="878">
        <f>'[2]2014. évi előirányzat'!J72</f>
        <v>0</v>
      </c>
      <c r="P72" s="878">
        <f>'[2]2014. évi előirányzat'!K72</f>
        <v>0</v>
      </c>
      <c r="Q72" s="878">
        <f>'[2]2015. évi előirányzat'!J72</f>
        <v>0</v>
      </c>
      <c r="R72" s="878">
        <f>'[2]2015. évi előirányzat'!K72</f>
        <v>0</v>
      </c>
      <c r="S72" s="878">
        <f>'[2]2016 előirányzat'!J72</f>
        <v>0</v>
      </c>
      <c r="T72" s="878">
        <f>'[2]2016 előirányzat'!K72</f>
        <v>0</v>
      </c>
      <c r="U72" s="878">
        <f>'[2]2017. előirányzat'!J72</f>
        <v>0</v>
      </c>
      <c r="V72" s="878">
        <f>'[2]2017. előirányzat'!K72</f>
        <v>0</v>
      </c>
      <c r="W72" s="878">
        <f>'[2]2018. előirányzat'!J72</f>
        <v>0</v>
      </c>
      <c r="X72" s="878">
        <f>'[2]2018. előirányzat'!K72</f>
        <v>0</v>
      </c>
      <c r="Y72" s="878">
        <f>'[2]2019. előirányzat'!J72</f>
        <v>0</v>
      </c>
      <c r="Z72" s="878">
        <f>'[2]2019. előirányzat'!K72</f>
        <v>0</v>
      </c>
      <c r="AA72" s="878">
        <f>'[2]2020. előirányzat'!G72</f>
        <v>0</v>
      </c>
      <c r="AB72" s="879">
        <f t="shared" si="10"/>
        <v>0</v>
      </c>
      <c r="AC72" s="879">
        <f t="shared" si="11"/>
        <v>0</v>
      </c>
      <c r="AD72" s="879">
        <f t="shared" si="12"/>
        <v>0</v>
      </c>
      <c r="AE72" s="879">
        <f t="shared" si="13"/>
        <v>0</v>
      </c>
      <c r="AF72" s="880">
        <f t="shared" si="14"/>
        <v>0</v>
      </c>
      <c r="AG72" s="880">
        <f>AC72</f>
        <v>0</v>
      </c>
      <c r="AH72" s="880">
        <f t="shared" si="15"/>
        <v>0</v>
      </c>
      <c r="AI72" s="878">
        <f>'[2]2021. előirányzat'!G72</f>
        <v>0</v>
      </c>
      <c r="AJ72" s="878">
        <f>'[2]2022. előirányzat'!G72</f>
        <v>0</v>
      </c>
      <c r="AK72" s="878">
        <f>'[2]2023. előirányzat'!G72</f>
        <v>0</v>
      </c>
      <c r="AL72" s="878">
        <f>'[2]2024. előirányzat'!G72</f>
        <v>0</v>
      </c>
      <c r="AM72" s="881">
        <f t="shared" si="16"/>
        <v>0</v>
      </c>
      <c r="AN72" s="881">
        <f t="shared" si="17"/>
        <v>0</v>
      </c>
      <c r="AO72" s="881">
        <f t="shared" si="18"/>
        <v>0</v>
      </c>
      <c r="AP72" s="881">
        <f t="shared" si="19"/>
        <v>0</v>
      </c>
      <c r="AQ72" s="882"/>
      <c r="AR72" s="883"/>
      <c r="AS72" s="884"/>
      <c r="AT72" s="882"/>
      <c r="AU72" s="882" t="s">
        <v>786</v>
      </c>
    </row>
    <row r="73" spans="1:47" ht="30" x14ac:dyDescent="0.25">
      <c r="A73" s="754" t="s">
        <v>556</v>
      </c>
      <c r="B73" s="757" t="str">
        <f>[1]előirányzat!B72</f>
        <v>Nádasd  Község Önkormányzata</v>
      </c>
      <c r="C73" s="755">
        <v>1337</v>
      </c>
      <c r="D73" s="878">
        <f>'[2]2009. évi előirányzat'!M73</f>
        <v>0</v>
      </c>
      <c r="E73" s="878">
        <f>'[2]2009. évi előirányzat'!N73</f>
        <v>0</v>
      </c>
      <c r="F73" s="878">
        <f>'[2]2009. évi előirányzat'!O73</f>
        <v>0</v>
      </c>
      <c r="G73" s="878">
        <f>'[2]2010. évi előirányzat'!J73</f>
        <v>0</v>
      </c>
      <c r="H73" s="878">
        <f>'[2]2010. évi előirányzat'!K73</f>
        <v>0</v>
      </c>
      <c r="I73" s="878">
        <f>'[2]2011. évi előirányzat'!J73</f>
        <v>0</v>
      </c>
      <c r="J73" s="878">
        <f>'[2]2011. évi előirányzat'!K73</f>
        <v>0</v>
      </c>
      <c r="K73" s="878">
        <f>'[2]2012. évi előirányzat'!J73</f>
        <v>0</v>
      </c>
      <c r="L73" s="878">
        <f>'[2]2012. évi előirányzat'!K73</f>
        <v>0</v>
      </c>
      <c r="M73" s="878">
        <f>'[2]2013. előirányzat'!J73</f>
        <v>0</v>
      </c>
      <c r="N73" s="878">
        <f>'[2]2013. előirányzat'!K73</f>
        <v>0</v>
      </c>
      <c r="O73" s="878">
        <f>'[2]2014. évi előirányzat'!J73</f>
        <v>0</v>
      </c>
      <c r="P73" s="878">
        <f>'[2]2014. évi előirányzat'!K73</f>
        <v>0</v>
      </c>
      <c r="Q73" s="878">
        <f>'[2]2015. évi előirányzat'!J73</f>
        <v>0</v>
      </c>
      <c r="R73" s="878">
        <f>'[2]2015. évi előirányzat'!K73</f>
        <v>0</v>
      </c>
      <c r="S73" s="878">
        <f>'[2]2016 előirányzat'!J73</f>
        <v>0</v>
      </c>
      <c r="T73" s="878">
        <f>'[2]2016 előirányzat'!K73</f>
        <v>0</v>
      </c>
      <c r="U73" s="878">
        <f>'[2]2017. előirányzat'!J73</f>
        <v>0</v>
      </c>
      <c r="V73" s="878">
        <f>'[2]2017. előirányzat'!K73</f>
        <v>0</v>
      </c>
      <c r="W73" s="878">
        <f>'[2]2018. előirányzat'!J73</f>
        <v>0</v>
      </c>
      <c r="X73" s="878">
        <f>'[2]2018. előirányzat'!K73</f>
        <v>0</v>
      </c>
      <c r="Y73" s="878">
        <f>'[2]2019. előirányzat'!J73</f>
        <v>0</v>
      </c>
      <c r="Z73" s="878">
        <f>'[2]2019. előirányzat'!K73</f>
        <v>0</v>
      </c>
      <c r="AA73" s="878">
        <f>'[2]2020. előirányzat'!G73</f>
        <v>0</v>
      </c>
      <c r="AB73" s="879">
        <f t="shared" si="10"/>
        <v>0</v>
      </c>
      <c r="AC73" s="879">
        <f t="shared" si="11"/>
        <v>0</v>
      </c>
      <c r="AD73" s="879">
        <f t="shared" si="12"/>
        <v>0</v>
      </c>
      <c r="AE73" s="879">
        <f t="shared" si="13"/>
        <v>0</v>
      </c>
      <c r="AF73" s="880">
        <f t="shared" si="14"/>
        <v>0</v>
      </c>
      <c r="AG73" s="880">
        <f>AC73</f>
        <v>0</v>
      </c>
      <c r="AH73" s="880">
        <f t="shared" si="15"/>
        <v>0</v>
      </c>
      <c r="AI73" s="878">
        <f>'[2]2021. előirányzat'!G73</f>
        <v>0</v>
      </c>
      <c r="AJ73" s="878">
        <f>'[2]2022. előirányzat'!G73</f>
        <v>0</v>
      </c>
      <c r="AK73" s="878">
        <f>'[2]2023. előirányzat'!G73</f>
        <v>0</v>
      </c>
      <c r="AL73" s="878">
        <f>'[2]2024. előirányzat'!G73</f>
        <v>0</v>
      </c>
      <c r="AM73" s="881">
        <f t="shared" si="16"/>
        <v>0</v>
      </c>
      <c r="AN73" s="881">
        <f t="shared" si="17"/>
        <v>0</v>
      </c>
      <c r="AO73" s="881">
        <f t="shared" si="18"/>
        <v>0</v>
      </c>
      <c r="AP73" s="881">
        <f t="shared" si="19"/>
        <v>0</v>
      </c>
      <c r="AQ73" s="888"/>
      <c r="AR73" s="883"/>
      <c r="AS73" s="884"/>
      <c r="AT73" s="882"/>
      <c r="AU73" s="882" t="s">
        <v>786</v>
      </c>
    </row>
    <row r="74" spans="1:47" x14ac:dyDescent="0.25">
      <c r="A74" s="597"/>
      <c r="B74" s="758" t="s">
        <v>701</v>
      </c>
      <c r="C74" s="597"/>
      <c r="D74" s="597">
        <f>'[2]2009. évi előirányzat'!M74</f>
        <v>0</v>
      </c>
      <c r="E74" s="597">
        <f>'[2]2009. évi előirányzat'!N74</f>
        <v>0</v>
      </c>
      <c r="F74" s="597">
        <f>'[2]2009. évi előirányzat'!O74</f>
        <v>0</v>
      </c>
      <c r="G74" s="597">
        <f>'[2]2010. évi előirányzat'!J74</f>
        <v>0</v>
      </c>
      <c r="H74" s="597">
        <f>'[2]2010. évi előirányzat'!K74</f>
        <v>0</v>
      </c>
      <c r="I74" s="597">
        <f>'[2]2011. évi előirányzat'!J74</f>
        <v>0</v>
      </c>
      <c r="J74" s="597">
        <f>'[2]2011. évi előirányzat'!K74</f>
        <v>0</v>
      </c>
      <c r="K74" s="597">
        <f>'[2]2012. évi előirányzat'!J74</f>
        <v>0</v>
      </c>
      <c r="L74" s="597">
        <f>'[2]2012. évi előirányzat'!K74</f>
        <v>0</v>
      </c>
      <c r="M74" s="597">
        <f>'[2]2013. előirányzat'!J74</f>
        <v>0</v>
      </c>
      <c r="N74" s="597">
        <f>'[2]2013. előirányzat'!K74</f>
        <v>0</v>
      </c>
      <c r="O74" s="597">
        <f>'[2]2014. évi előirányzat'!J74</f>
        <v>0</v>
      </c>
      <c r="P74" s="597">
        <f>'[2]2014. évi előirányzat'!K74</f>
        <v>0</v>
      </c>
      <c r="Q74" s="597">
        <f>'[2]2015. évi előirányzat'!J74</f>
        <v>0</v>
      </c>
      <c r="R74" s="597">
        <f>'[2]2015. évi előirányzat'!K74</f>
        <v>0</v>
      </c>
      <c r="S74" s="597">
        <f>'[2]2016 előirányzat'!J74</f>
        <v>0</v>
      </c>
      <c r="T74" s="597">
        <f>'[2]2016 előirányzat'!K74</f>
        <v>0</v>
      </c>
      <c r="U74" s="597">
        <f>'[2]2017. előirányzat'!J74</f>
        <v>0</v>
      </c>
      <c r="V74" s="597">
        <f>'[2]2017. előirányzat'!K74</f>
        <v>0</v>
      </c>
      <c r="W74" s="597">
        <f>'[2]2018. előirányzat'!J74</f>
        <v>0</v>
      </c>
      <c r="X74" s="597">
        <f>'[2]2018. előirányzat'!K74</f>
        <v>0</v>
      </c>
      <c r="Y74" s="597">
        <f>'[2]2019. előirányzat'!J74</f>
        <v>0</v>
      </c>
      <c r="Z74" s="597">
        <f>'[2]2019. előirányzat'!K74</f>
        <v>0</v>
      </c>
      <c r="AA74" s="597">
        <f>'[2]2020. előirányzat'!G74</f>
        <v>0</v>
      </c>
      <c r="AB74" s="597">
        <f t="shared" si="10"/>
        <v>0</v>
      </c>
      <c r="AC74" s="597">
        <f t="shared" si="11"/>
        <v>0</v>
      </c>
      <c r="AD74" s="597">
        <f t="shared" si="12"/>
        <v>0</v>
      </c>
      <c r="AE74" s="597">
        <f t="shared" si="13"/>
        <v>0</v>
      </c>
      <c r="AF74" s="597"/>
      <c r="AG74" s="597"/>
      <c r="AH74" s="886">
        <f t="shared" si="15"/>
        <v>0</v>
      </c>
      <c r="AI74" s="887">
        <f>'[2]2021. előirányzat'!G74</f>
        <v>0</v>
      </c>
      <c r="AJ74" s="887">
        <f>'[2]2022. előirányzat'!G74</f>
        <v>0</v>
      </c>
      <c r="AK74" s="887">
        <f>'[2]2023. előirányzat'!G74</f>
        <v>0</v>
      </c>
      <c r="AL74" s="887">
        <f>'[2]2024. előirányzat'!G74</f>
        <v>0</v>
      </c>
      <c r="AM74" s="887">
        <f t="shared" si="16"/>
        <v>0</v>
      </c>
      <c r="AN74" s="886">
        <f t="shared" si="17"/>
        <v>0</v>
      </c>
      <c r="AO74" s="886">
        <f t="shared" si="18"/>
        <v>0</v>
      </c>
      <c r="AP74" s="886">
        <f t="shared" si="19"/>
        <v>0</v>
      </c>
      <c r="AQ74" s="882"/>
      <c r="AR74" s="883"/>
      <c r="AS74" s="884"/>
      <c r="AT74" s="882"/>
      <c r="AU74" s="882"/>
    </row>
    <row r="75" spans="1:47" ht="30" x14ac:dyDescent="0.25">
      <c r="A75" s="885" t="s">
        <v>557</v>
      </c>
      <c r="B75" s="757" t="str">
        <f>[1]előirányzat!B73</f>
        <v>Nagymizdó  Község Önkormányzata</v>
      </c>
      <c r="C75" s="755">
        <v>127</v>
      </c>
      <c r="D75" s="878">
        <f>'[2]2009. évi előirányzat'!M75</f>
        <v>0</v>
      </c>
      <c r="E75" s="878">
        <f>'[2]2009. évi előirányzat'!N75</f>
        <v>0</v>
      </c>
      <c r="F75" s="878">
        <f>'[2]2009. évi előirányzat'!O75</f>
        <v>0</v>
      </c>
      <c r="G75" s="878">
        <f>'[2]2010. évi előirányzat'!J75</f>
        <v>0</v>
      </c>
      <c r="H75" s="878">
        <f>'[2]2010. évi előirányzat'!K75</f>
        <v>0</v>
      </c>
      <c r="I75" s="878">
        <f>'[2]2011. évi előirányzat'!J75</f>
        <v>0</v>
      </c>
      <c r="J75" s="878">
        <f>'[2]2011. évi előirányzat'!K75</f>
        <v>0</v>
      </c>
      <c r="K75" s="878">
        <f>'[2]2012. évi előirányzat'!J75</f>
        <v>0</v>
      </c>
      <c r="L75" s="878">
        <f>'[2]2012. évi előirányzat'!K75</f>
        <v>0</v>
      </c>
      <c r="M75" s="878">
        <f>'[2]2013. előirányzat'!J75</f>
        <v>0</v>
      </c>
      <c r="N75" s="878">
        <f>'[2]2013. előirányzat'!K75</f>
        <v>0</v>
      </c>
      <c r="O75" s="878">
        <f>'[2]2014. évi előirányzat'!J75</f>
        <v>0</v>
      </c>
      <c r="P75" s="878">
        <f>'[2]2014. évi előirányzat'!K75</f>
        <v>0</v>
      </c>
      <c r="Q75" s="878">
        <f>'[2]2015. évi előirányzat'!J75</f>
        <v>0</v>
      </c>
      <c r="R75" s="878">
        <f>'[2]2015. évi előirányzat'!K75</f>
        <v>0</v>
      </c>
      <c r="S75" s="878">
        <f>'[2]2016 előirányzat'!J75</f>
        <v>0</v>
      </c>
      <c r="T75" s="878">
        <f>'[2]2016 előirányzat'!K75</f>
        <v>0</v>
      </c>
      <c r="U75" s="878">
        <f>'[2]2017. előirányzat'!J75</f>
        <v>0</v>
      </c>
      <c r="V75" s="878">
        <f>'[2]2017. előirányzat'!K75</f>
        <v>-63500</v>
      </c>
      <c r="W75" s="878">
        <f>'[2]2018. előirányzat'!J75</f>
        <v>0</v>
      </c>
      <c r="X75" s="878">
        <f>'[2]2018. előirányzat'!K75</f>
        <v>0</v>
      </c>
      <c r="Y75" s="878">
        <f>'[2]2019. előirányzat'!J75</f>
        <v>0</v>
      </c>
      <c r="Z75" s="878">
        <f>'[2]2019. előirányzat'!K75</f>
        <v>0</v>
      </c>
      <c r="AA75" s="878">
        <f>'[2]2020. előirányzat'!G75</f>
        <v>0</v>
      </c>
      <c r="AB75" s="879">
        <f t="shared" si="10"/>
        <v>0</v>
      </c>
      <c r="AC75" s="879">
        <f t="shared" si="11"/>
        <v>-63500</v>
      </c>
      <c r="AD75" s="879">
        <f t="shared" si="12"/>
        <v>0</v>
      </c>
      <c r="AE75" s="879">
        <f t="shared" si="13"/>
        <v>-63500</v>
      </c>
      <c r="AF75" s="880">
        <f t="shared" si="14"/>
        <v>0</v>
      </c>
      <c r="AG75" s="880">
        <f>AE75+(3*12700)+25400</f>
        <v>0</v>
      </c>
      <c r="AH75" s="880">
        <f t="shared" si="15"/>
        <v>0</v>
      </c>
      <c r="AI75" s="878">
        <f>'[2]2021. előirányzat'!G75</f>
        <v>0</v>
      </c>
      <c r="AJ75" s="878">
        <f>'[2]2022. előirányzat'!G75</f>
        <v>0</v>
      </c>
      <c r="AK75" s="878">
        <f>'[2]2023. előirányzat'!G75</f>
        <v>0</v>
      </c>
      <c r="AL75" s="878">
        <f>'[2]2024. előirányzat'!G75</f>
        <v>0</v>
      </c>
      <c r="AM75" s="881">
        <f t="shared" si="16"/>
        <v>0</v>
      </c>
      <c r="AN75" s="881">
        <f t="shared" si="17"/>
        <v>0</v>
      </c>
      <c r="AO75" s="881">
        <f t="shared" si="18"/>
        <v>0</v>
      </c>
      <c r="AP75" s="881">
        <f t="shared" si="19"/>
        <v>0</v>
      </c>
      <c r="AQ75" s="882"/>
      <c r="AR75" s="883"/>
      <c r="AS75" s="884"/>
      <c r="AT75" s="882"/>
      <c r="AU75" s="882" t="s">
        <v>786</v>
      </c>
    </row>
    <row r="76" spans="1:47" ht="30" x14ac:dyDescent="0.25">
      <c r="A76" s="885" t="s">
        <v>558</v>
      </c>
      <c r="B76" s="757" t="str">
        <f>[1]előirányzat!B74</f>
        <v>Nagyrákos  Község Önkormányzata</v>
      </c>
      <c r="C76" s="755">
        <v>280</v>
      </c>
      <c r="D76" s="878">
        <f>'[2]2009. évi előirányzat'!M76</f>
        <v>0</v>
      </c>
      <c r="E76" s="878">
        <f>'[2]2009. évi előirányzat'!N76</f>
        <v>0</v>
      </c>
      <c r="F76" s="878">
        <f>'[2]2009. évi előirányzat'!O76</f>
        <v>0</v>
      </c>
      <c r="G76" s="878">
        <f>'[2]2010. évi előirányzat'!J76</f>
        <v>0</v>
      </c>
      <c r="H76" s="878">
        <f>'[2]2010. évi előirányzat'!K76</f>
        <v>0</v>
      </c>
      <c r="I76" s="878">
        <f>'[2]2011. évi előirányzat'!J76</f>
        <v>0</v>
      </c>
      <c r="J76" s="878">
        <f>'[2]2011. évi előirányzat'!K76</f>
        <v>0</v>
      </c>
      <c r="K76" s="878">
        <f>'[2]2012. évi előirányzat'!J76</f>
        <v>0</v>
      </c>
      <c r="L76" s="878">
        <f>'[2]2012. évi előirányzat'!K76</f>
        <v>0</v>
      </c>
      <c r="M76" s="878">
        <f>'[2]2013. előirányzat'!J76</f>
        <v>0</v>
      </c>
      <c r="N76" s="878">
        <f>'[2]2013. előirányzat'!K76</f>
        <v>0</v>
      </c>
      <c r="O76" s="878">
        <f>'[2]2014. évi előirányzat'!J76</f>
        <v>0</v>
      </c>
      <c r="P76" s="878">
        <f>'[2]2014. évi előirányzat'!K76</f>
        <v>0</v>
      </c>
      <c r="Q76" s="878">
        <f>'[2]2015. évi előirányzat'!J76</f>
        <v>0</v>
      </c>
      <c r="R76" s="878">
        <f>'[2]2015. évi előirányzat'!K76</f>
        <v>0</v>
      </c>
      <c r="S76" s="878">
        <f>'[2]2016 előirányzat'!J76</f>
        <v>0</v>
      </c>
      <c r="T76" s="878">
        <f>'[2]2016 előirányzat'!K76</f>
        <v>0</v>
      </c>
      <c r="U76" s="878">
        <f>'[2]2017. előirányzat'!J76</f>
        <v>0</v>
      </c>
      <c r="V76" s="878">
        <f>'[2]2017. előirányzat'!K76</f>
        <v>-140000</v>
      </c>
      <c r="W76" s="878">
        <f>'[2]2018. előirányzat'!J76</f>
        <v>0</v>
      </c>
      <c r="X76" s="878">
        <f>'[2]2018. előirányzat'!K76</f>
        <v>-140000</v>
      </c>
      <c r="Y76" s="878">
        <f>'[2]2019. előirányzat'!J76</f>
        <v>0</v>
      </c>
      <c r="Z76" s="878">
        <f>'[2]2019. előirányzat'!K76</f>
        <v>-140000</v>
      </c>
      <c r="AA76" s="878">
        <f>'[2]2020. előirányzat'!G76</f>
        <v>0</v>
      </c>
      <c r="AB76" s="879">
        <f t="shared" si="10"/>
        <v>0</v>
      </c>
      <c r="AC76" s="879">
        <f t="shared" si="11"/>
        <v>-420000</v>
      </c>
      <c r="AD76" s="879">
        <f t="shared" si="12"/>
        <v>0</v>
      </c>
      <c r="AE76" s="879">
        <f t="shared" si="13"/>
        <v>-420000</v>
      </c>
      <c r="AF76" s="880">
        <f t="shared" si="14"/>
        <v>0</v>
      </c>
      <c r="AG76" s="880">
        <f>AE76+28000+392000</f>
        <v>0</v>
      </c>
      <c r="AH76" s="880">
        <f t="shared" si="15"/>
        <v>0</v>
      </c>
      <c r="AI76" s="878">
        <f>'[2]2021. előirányzat'!G76</f>
        <v>0</v>
      </c>
      <c r="AJ76" s="878">
        <f>'[2]2022. előirányzat'!G76</f>
        <v>0</v>
      </c>
      <c r="AK76" s="878">
        <f>'[2]2023. előirányzat'!G76</f>
        <v>0</v>
      </c>
      <c r="AL76" s="878">
        <f>'[2]2024. előirányzat'!G76</f>
        <v>0</v>
      </c>
      <c r="AM76" s="881">
        <f t="shared" si="16"/>
        <v>0</v>
      </c>
      <c r="AN76" s="881">
        <f t="shared" si="17"/>
        <v>0</v>
      </c>
      <c r="AO76" s="881">
        <f t="shared" si="18"/>
        <v>0</v>
      </c>
      <c r="AP76" s="881">
        <f t="shared" si="19"/>
        <v>0</v>
      </c>
      <c r="AQ76" s="882"/>
      <c r="AR76" s="883"/>
      <c r="AS76" s="884"/>
      <c r="AT76" s="882"/>
      <c r="AU76" s="882" t="s">
        <v>781</v>
      </c>
    </row>
    <row r="77" spans="1:47" ht="30" x14ac:dyDescent="0.25">
      <c r="A77" s="754" t="s">
        <v>559</v>
      </c>
      <c r="B77" s="757" t="str">
        <f>[1]előirányzat!B75</f>
        <v>Nárai  Község Önkormányzata</v>
      </c>
      <c r="C77" s="755">
        <v>1151</v>
      </c>
      <c r="D77" s="878">
        <f>'[2]2009. évi előirányzat'!M77</f>
        <v>0</v>
      </c>
      <c r="E77" s="878">
        <f>'[2]2009. évi előirányzat'!N77</f>
        <v>0</v>
      </c>
      <c r="F77" s="878">
        <f>'[2]2009. évi előirányzat'!O77</f>
        <v>0</v>
      </c>
      <c r="G77" s="878">
        <f>'[2]2010. évi előirányzat'!J77</f>
        <v>0</v>
      </c>
      <c r="H77" s="878">
        <f>'[2]2010. évi előirányzat'!K77</f>
        <v>0</v>
      </c>
      <c r="I77" s="878">
        <f>'[2]2011. évi előirányzat'!J77</f>
        <v>0</v>
      </c>
      <c r="J77" s="878">
        <f>'[2]2011. évi előirányzat'!K77</f>
        <v>0</v>
      </c>
      <c r="K77" s="878">
        <f>'[2]2012. évi előirányzat'!J77</f>
        <v>0</v>
      </c>
      <c r="L77" s="878">
        <f>'[2]2012. évi előirányzat'!K77</f>
        <v>0</v>
      </c>
      <c r="M77" s="878">
        <f>'[2]2013. előirányzat'!J77</f>
        <v>0</v>
      </c>
      <c r="N77" s="878">
        <f>'[2]2013. előirányzat'!K77</f>
        <v>0</v>
      </c>
      <c r="O77" s="878">
        <f>'[2]2014. évi előirányzat'!J77</f>
        <v>0</v>
      </c>
      <c r="P77" s="878">
        <f>'[2]2014. évi előirányzat'!K77</f>
        <v>0</v>
      </c>
      <c r="Q77" s="878">
        <f>'[2]2015. évi előirányzat'!J77</f>
        <v>0</v>
      </c>
      <c r="R77" s="878">
        <f>'[2]2015. évi előirányzat'!K77</f>
        <v>0</v>
      </c>
      <c r="S77" s="878">
        <f>'[2]2016 előirányzat'!J77</f>
        <v>0</v>
      </c>
      <c r="T77" s="878">
        <f>'[2]2016 előirányzat'!K77</f>
        <v>0</v>
      </c>
      <c r="U77" s="878">
        <f>'[2]2017. előirányzat'!J77</f>
        <v>0</v>
      </c>
      <c r="V77" s="878">
        <f>'[2]2017. előirányzat'!K77</f>
        <v>-575500</v>
      </c>
      <c r="W77" s="878">
        <f>'[2]2018. előirányzat'!J77</f>
        <v>0</v>
      </c>
      <c r="X77" s="878">
        <f>'[2]2018. előirányzat'!K77</f>
        <v>0</v>
      </c>
      <c r="Y77" s="878">
        <f>'[2]2019. előirányzat'!J77</f>
        <v>0</v>
      </c>
      <c r="Z77" s="878">
        <f>'[2]2019. előirányzat'!K77</f>
        <v>0</v>
      </c>
      <c r="AA77" s="878">
        <f>'[2]2020. előirányzat'!G77</f>
        <v>0</v>
      </c>
      <c r="AB77" s="879">
        <f t="shared" si="10"/>
        <v>0</v>
      </c>
      <c r="AC77" s="879">
        <f t="shared" si="11"/>
        <v>-575500</v>
      </c>
      <c r="AD77" s="879">
        <f t="shared" si="12"/>
        <v>0</v>
      </c>
      <c r="AE77" s="879">
        <f t="shared" si="13"/>
        <v>-575500</v>
      </c>
      <c r="AF77" s="880">
        <f t="shared" si="14"/>
        <v>0</v>
      </c>
      <c r="AG77" s="880">
        <f>AC77+(2*115100)+345300</f>
        <v>0</v>
      </c>
      <c r="AH77" s="880">
        <f t="shared" si="15"/>
        <v>0</v>
      </c>
      <c r="AI77" s="878">
        <f>'[2]2021. előirányzat'!G77</f>
        <v>0</v>
      </c>
      <c r="AJ77" s="878">
        <f>'[2]2022. előirányzat'!G77</f>
        <v>0</v>
      </c>
      <c r="AK77" s="878">
        <f>'[2]2023. előirányzat'!G77</f>
        <v>0</v>
      </c>
      <c r="AL77" s="878">
        <f>'[2]2024. előirányzat'!G77</f>
        <v>0</v>
      </c>
      <c r="AM77" s="881">
        <f t="shared" si="16"/>
        <v>0</v>
      </c>
      <c r="AN77" s="881">
        <f t="shared" si="17"/>
        <v>0</v>
      </c>
      <c r="AO77" s="881">
        <f t="shared" si="18"/>
        <v>0</v>
      </c>
      <c r="AP77" s="881">
        <f t="shared" si="19"/>
        <v>0</v>
      </c>
      <c r="AQ77" s="882"/>
      <c r="AR77" s="883"/>
      <c r="AS77" s="884"/>
      <c r="AT77" s="882"/>
      <c r="AU77" s="882" t="s">
        <v>789</v>
      </c>
    </row>
    <row r="78" spans="1:47" ht="30" x14ac:dyDescent="0.25">
      <c r="A78" s="885" t="s">
        <v>560</v>
      </c>
      <c r="B78" s="755" t="str">
        <f>[1]előirányzat!B76</f>
        <v>Narda  Község Önkormányzata</v>
      </c>
      <c r="C78" s="755">
        <v>526</v>
      </c>
      <c r="D78" s="878">
        <f>'[2]2009. évi előirányzat'!M78</f>
        <v>0</v>
      </c>
      <c r="E78" s="878">
        <f>'[2]2009. évi előirányzat'!N78</f>
        <v>0</v>
      </c>
      <c r="F78" s="878">
        <f>'[2]2009. évi előirányzat'!O78</f>
        <v>0</v>
      </c>
      <c r="G78" s="878">
        <f>'[2]2010. évi előirányzat'!J78</f>
        <v>0</v>
      </c>
      <c r="H78" s="878">
        <f>'[2]2010. évi előirányzat'!K78</f>
        <v>0</v>
      </c>
      <c r="I78" s="878">
        <f>'[2]2011. évi előirányzat'!J78</f>
        <v>0</v>
      </c>
      <c r="J78" s="878">
        <f>'[2]2011. évi előirányzat'!K78</f>
        <v>0</v>
      </c>
      <c r="K78" s="878">
        <f>'[2]2012. évi előirányzat'!J78</f>
        <v>0</v>
      </c>
      <c r="L78" s="878">
        <f>'[2]2012. évi előirányzat'!K78</f>
        <v>0</v>
      </c>
      <c r="M78" s="878">
        <f>'[2]2013. előirányzat'!J78</f>
        <v>0</v>
      </c>
      <c r="N78" s="878">
        <f>'[2]2013. előirányzat'!K78</f>
        <v>0</v>
      </c>
      <c r="O78" s="878">
        <f>'[2]2014. évi előirányzat'!J78</f>
        <v>0</v>
      </c>
      <c r="P78" s="878">
        <f>'[2]2014. évi előirányzat'!K78</f>
        <v>0</v>
      </c>
      <c r="Q78" s="878">
        <f>'[2]2015. évi előirányzat'!J78</f>
        <v>0</v>
      </c>
      <c r="R78" s="878">
        <f>'[2]2015. évi előirányzat'!K78</f>
        <v>0</v>
      </c>
      <c r="S78" s="878">
        <f>'[2]2016 előirányzat'!J78</f>
        <v>0</v>
      </c>
      <c r="T78" s="878">
        <f>'[2]2016 előirányzat'!K78</f>
        <v>0</v>
      </c>
      <c r="U78" s="878">
        <f>'[2]2017. előirányzat'!J78</f>
        <v>0</v>
      </c>
      <c r="V78" s="878">
        <f>'[2]2017. előirányzat'!K78</f>
        <v>263000</v>
      </c>
      <c r="W78" s="878">
        <f>'[2]2018. előirányzat'!J78</f>
        <v>0</v>
      </c>
      <c r="X78" s="878">
        <f>'[2]2018. előirányzat'!K78</f>
        <v>263000</v>
      </c>
      <c r="Y78" s="878">
        <f>'[2]2019. előirányzat'!J78</f>
        <v>0</v>
      </c>
      <c r="Z78" s="878">
        <f>'[2]2019. előirányzat'!K78</f>
        <v>263000</v>
      </c>
      <c r="AA78" s="878">
        <f>'[2]2020. előirányzat'!G78</f>
        <v>26300</v>
      </c>
      <c r="AB78" s="879">
        <f t="shared" si="10"/>
        <v>26300</v>
      </c>
      <c r="AC78" s="879">
        <f t="shared" si="11"/>
        <v>789000</v>
      </c>
      <c r="AD78" s="879">
        <f t="shared" si="12"/>
        <v>0</v>
      </c>
      <c r="AE78" s="879">
        <f t="shared" si="13"/>
        <v>815300</v>
      </c>
      <c r="AF78" s="880">
        <f t="shared" si="14"/>
        <v>26300</v>
      </c>
      <c r="AG78" s="880">
        <f>AC78</f>
        <v>789000</v>
      </c>
      <c r="AH78" s="880">
        <f t="shared" si="15"/>
        <v>815300</v>
      </c>
      <c r="AI78" s="878">
        <f>'[2]2021. előirányzat'!G78</f>
        <v>52600</v>
      </c>
      <c r="AJ78" s="878">
        <f>'[2]2022. előirányzat'!G78</f>
        <v>52600</v>
      </c>
      <c r="AK78" s="878">
        <f>'[2]2023. előirányzat'!G78</f>
        <v>52600</v>
      </c>
      <c r="AL78" s="878">
        <f>'[2]2024. előirányzat'!G78</f>
        <v>0</v>
      </c>
      <c r="AM78" s="881">
        <f t="shared" si="16"/>
        <v>184100</v>
      </c>
      <c r="AN78" s="881">
        <f t="shared" si="17"/>
        <v>789000</v>
      </c>
      <c r="AO78" s="881">
        <f t="shared" si="18"/>
        <v>0</v>
      </c>
      <c r="AP78" s="881">
        <f t="shared" si="19"/>
        <v>973100</v>
      </c>
      <c r="AQ78" s="882"/>
      <c r="AR78" s="883">
        <f>V78+X78+Z78</f>
        <v>789000</v>
      </c>
      <c r="AS78" s="884">
        <f>AP78-AR78</f>
        <v>184100</v>
      </c>
      <c r="AT78" s="882"/>
      <c r="AU78" s="882" t="s">
        <v>789</v>
      </c>
    </row>
    <row r="79" spans="1:47" ht="30" x14ac:dyDescent="0.25">
      <c r="A79" s="885" t="s">
        <v>561</v>
      </c>
      <c r="B79" s="759" t="str">
        <f>[1]előirányzat!B77</f>
        <v>Nemesbőd Község Önkormányzata</v>
      </c>
      <c r="C79" s="755">
        <v>614</v>
      </c>
      <c r="D79" s="878">
        <f>'[2]2009. évi előirányzat'!M79</f>
        <v>0</v>
      </c>
      <c r="E79" s="878">
        <f>'[2]2009. évi előirányzat'!N79</f>
        <v>0</v>
      </c>
      <c r="F79" s="878">
        <f>'[2]2009. évi előirányzat'!O79</f>
        <v>0</v>
      </c>
      <c r="G79" s="878">
        <f>'[2]2010. évi előirányzat'!J79</f>
        <v>0</v>
      </c>
      <c r="H79" s="878">
        <f>'[2]2010. évi előirányzat'!K79</f>
        <v>0</v>
      </c>
      <c r="I79" s="878">
        <f>'[2]2011. évi előirányzat'!J79</f>
        <v>0</v>
      </c>
      <c r="J79" s="878">
        <f>'[2]2011. évi előirányzat'!K79</f>
        <v>0</v>
      </c>
      <c r="K79" s="878">
        <f>'[2]2012. évi előirányzat'!J79</f>
        <v>0</v>
      </c>
      <c r="L79" s="878">
        <f>'[2]2012. évi előirányzat'!K79</f>
        <v>0</v>
      </c>
      <c r="M79" s="878">
        <f>'[2]2013. előirányzat'!J79</f>
        <v>0</v>
      </c>
      <c r="N79" s="878">
        <f>'[2]2013. előirányzat'!K79</f>
        <v>0</v>
      </c>
      <c r="O79" s="878">
        <f>'[2]2014. évi előirányzat'!J79</f>
        <v>0</v>
      </c>
      <c r="P79" s="878">
        <f>'[2]2014. évi előirányzat'!K79</f>
        <v>0</v>
      </c>
      <c r="Q79" s="878">
        <f>'[2]2015. évi előirányzat'!J79</f>
        <v>0</v>
      </c>
      <c r="R79" s="878">
        <f>'[2]2015. évi előirányzat'!K79</f>
        <v>0</v>
      </c>
      <c r="S79" s="878">
        <f>'[2]2016 előirányzat'!J79</f>
        <v>0</v>
      </c>
      <c r="T79" s="878">
        <f>'[2]2016 előirányzat'!K79</f>
        <v>0</v>
      </c>
      <c r="U79" s="878">
        <f>'[2]2017. előirányzat'!J79</f>
        <v>0</v>
      </c>
      <c r="V79" s="878">
        <f>'[2]2017. előirányzat'!K79</f>
        <v>0</v>
      </c>
      <c r="W79" s="878">
        <f>'[2]2018. előirányzat'!J79</f>
        <v>0</v>
      </c>
      <c r="X79" s="878">
        <f>'[2]2018. előirányzat'!K79</f>
        <v>0</v>
      </c>
      <c r="Y79" s="878">
        <f>'[2]2019. előirányzat'!J79</f>
        <v>0</v>
      </c>
      <c r="Z79" s="878">
        <f>'[2]2019. előirányzat'!K79</f>
        <v>0</v>
      </c>
      <c r="AA79" s="878">
        <f>'[2]2020. előirányzat'!G79</f>
        <v>0</v>
      </c>
      <c r="AB79" s="879">
        <f t="shared" si="10"/>
        <v>0</v>
      </c>
      <c r="AC79" s="879">
        <f t="shared" si="11"/>
        <v>0</v>
      </c>
      <c r="AD79" s="879">
        <f t="shared" si="12"/>
        <v>0</v>
      </c>
      <c r="AE79" s="879">
        <f t="shared" si="13"/>
        <v>0</v>
      </c>
      <c r="AF79" s="880">
        <f t="shared" si="14"/>
        <v>0</v>
      </c>
      <c r="AG79" s="880">
        <f>AC79</f>
        <v>0</v>
      </c>
      <c r="AH79" s="880">
        <f t="shared" si="15"/>
        <v>0</v>
      </c>
      <c r="AI79" s="878">
        <f>'[2]2021. előirányzat'!G79</f>
        <v>0</v>
      </c>
      <c r="AJ79" s="878">
        <f>'[2]2022. előirányzat'!G79</f>
        <v>0</v>
      </c>
      <c r="AK79" s="878">
        <f>'[2]2023. előirányzat'!G79</f>
        <v>0</v>
      </c>
      <c r="AL79" s="878">
        <f>'[2]2024. előirányzat'!G79</f>
        <v>0</v>
      </c>
      <c r="AM79" s="881">
        <f t="shared" si="16"/>
        <v>0</v>
      </c>
      <c r="AN79" s="881">
        <f t="shared" si="17"/>
        <v>0</v>
      </c>
      <c r="AO79" s="881">
        <f t="shared" si="18"/>
        <v>0</v>
      </c>
      <c r="AP79" s="881">
        <f t="shared" si="19"/>
        <v>0</v>
      </c>
      <c r="AQ79" s="888" t="s">
        <v>790</v>
      </c>
      <c r="AR79" s="883">
        <f>V79+X79+Z79</f>
        <v>0</v>
      </c>
      <c r="AS79" s="884">
        <f>AP79-AR79</f>
        <v>0</v>
      </c>
      <c r="AT79" s="882"/>
      <c r="AU79" s="882" t="s">
        <v>789</v>
      </c>
    </row>
    <row r="80" spans="1:47" ht="30" x14ac:dyDescent="0.25">
      <c r="A80" s="754" t="s">
        <v>562</v>
      </c>
      <c r="B80" s="757" t="str">
        <f>[1]előirányzat!B78</f>
        <v>Nemescsó Község Önkormányzata</v>
      </c>
      <c r="C80" s="755">
        <v>324</v>
      </c>
      <c r="D80" s="878">
        <f>'[2]2009. évi előirányzat'!M80</f>
        <v>0</v>
      </c>
      <c r="E80" s="878">
        <f>'[2]2009. évi előirányzat'!N80</f>
        <v>0</v>
      </c>
      <c r="F80" s="878">
        <f>'[2]2009. évi előirányzat'!O80</f>
        <v>0</v>
      </c>
      <c r="G80" s="878">
        <f>'[2]2010. évi előirányzat'!J80</f>
        <v>0</v>
      </c>
      <c r="H80" s="878">
        <f>'[2]2010. évi előirányzat'!K80</f>
        <v>0</v>
      </c>
      <c r="I80" s="878">
        <f>'[2]2011. évi előirányzat'!J80</f>
        <v>0</v>
      </c>
      <c r="J80" s="878">
        <f>'[2]2011. évi előirányzat'!K80</f>
        <v>0</v>
      </c>
      <c r="K80" s="878">
        <f>'[2]2012. évi előirányzat'!J80</f>
        <v>0</v>
      </c>
      <c r="L80" s="878">
        <f>'[2]2012. évi előirányzat'!K80</f>
        <v>0</v>
      </c>
      <c r="M80" s="878">
        <f>'[2]2013. előirányzat'!J80</f>
        <v>0</v>
      </c>
      <c r="N80" s="878">
        <f>'[2]2013. előirányzat'!K80</f>
        <v>0</v>
      </c>
      <c r="O80" s="878">
        <f>'[2]2014. évi előirányzat'!J80</f>
        <v>0</v>
      </c>
      <c r="P80" s="878">
        <f>'[2]2014. évi előirányzat'!K80</f>
        <v>0</v>
      </c>
      <c r="Q80" s="878">
        <f>'[2]2015. évi előirányzat'!J80</f>
        <v>0</v>
      </c>
      <c r="R80" s="878">
        <f>'[2]2015. évi előirányzat'!K80</f>
        <v>0</v>
      </c>
      <c r="S80" s="878">
        <f>'[2]2016 előirányzat'!J80</f>
        <v>0</v>
      </c>
      <c r="T80" s="878">
        <f>'[2]2016 előirányzat'!K80</f>
        <v>0</v>
      </c>
      <c r="U80" s="878">
        <f>'[2]2017. előirányzat'!J80</f>
        <v>0</v>
      </c>
      <c r="V80" s="878">
        <f>'[2]2017. előirányzat'!K80</f>
        <v>0</v>
      </c>
      <c r="W80" s="878">
        <f>'[2]2018. előirányzat'!J80</f>
        <v>0</v>
      </c>
      <c r="X80" s="878">
        <f>'[2]2018. előirányzat'!K80</f>
        <v>0</v>
      </c>
      <c r="Y80" s="878">
        <f>'[2]2019. előirányzat'!J80</f>
        <v>0</v>
      </c>
      <c r="Z80" s="878">
        <f>'[2]2019. előirányzat'!K80</f>
        <v>0</v>
      </c>
      <c r="AA80" s="878">
        <f>'[2]2020. előirányzat'!G80</f>
        <v>0</v>
      </c>
      <c r="AB80" s="879">
        <f t="shared" si="10"/>
        <v>0</v>
      </c>
      <c r="AC80" s="879">
        <f t="shared" si="11"/>
        <v>0</v>
      </c>
      <c r="AD80" s="879">
        <f t="shared" si="12"/>
        <v>0</v>
      </c>
      <c r="AE80" s="879">
        <f t="shared" si="13"/>
        <v>0</v>
      </c>
      <c r="AF80" s="880">
        <f t="shared" si="14"/>
        <v>0</v>
      </c>
      <c r="AG80" s="880">
        <f>AE80</f>
        <v>0</v>
      </c>
      <c r="AH80" s="880">
        <f t="shared" si="15"/>
        <v>0</v>
      </c>
      <c r="AI80" s="878">
        <f>'[2]2021. előirányzat'!G80</f>
        <v>0</v>
      </c>
      <c r="AJ80" s="878">
        <f>'[2]2022. előirányzat'!G80</f>
        <v>0</v>
      </c>
      <c r="AK80" s="878">
        <f>'[2]2023. előirányzat'!G80</f>
        <v>0</v>
      </c>
      <c r="AL80" s="878">
        <f>'[2]2024. előirányzat'!G80</f>
        <v>0</v>
      </c>
      <c r="AM80" s="881">
        <f t="shared" si="16"/>
        <v>0</v>
      </c>
      <c r="AN80" s="881">
        <f t="shared" si="17"/>
        <v>0</v>
      </c>
      <c r="AO80" s="881">
        <f t="shared" si="18"/>
        <v>0</v>
      </c>
      <c r="AP80" s="881">
        <f t="shared" si="19"/>
        <v>0</v>
      </c>
      <c r="AQ80" s="882"/>
      <c r="AR80" s="883"/>
      <c r="AS80" s="884"/>
      <c r="AT80" s="882"/>
      <c r="AU80" s="882" t="s">
        <v>784</v>
      </c>
    </row>
    <row r="81" spans="1:51" ht="30" x14ac:dyDescent="0.25">
      <c r="A81" s="885" t="s">
        <v>563</v>
      </c>
      <c r="B81" s="757" t="str">
        <f>[1]előirányzat!B79</f>
        <v>Nemeskocs Község Önkormányzata</v>
      </c>
      <c r="C81" s="755">
        <v>331</v>
      </c>
      <c r="D81" s="878">
        <f>'[2]2009. évi előirányzat'!M81</f>
        <v>0</v>
      </c>
      <c r="E81" s="878">
        <f>'[2]2009. évi előirányzat'!N81</f>
        <v>0</v>
      </c>
      <c r="F81" s="878">
        <f>'[2]2009. évi előirányzat'!O81</f>
        <v>0</v>
      </c>
      <c r="G81" s="878">
        <f>'[2]2010. évi előirányzat'!J81</f>
        <v>0</v>
      </c>
      <c r="H81" s="878">
        <f>'[2]2010. évi előirányzat'!K81</f>
        <v>0</v>
      </c>
      <c r="I81" s="878">
        <f>'[2]2011. évi előirányzat'!J81</f>
        <v>0</v>
      </c>
      <c r="J81" s="878">
        <f>'[2]2011. évi előirányzat'!K81</f>
        <v>0</v>
      </c>
      <c r="K81" s="878">
        <f>'[2]2012. évi előirányzat'!J81</f>
        <v>0</v>
      </c>
      <c r="L81" s="878">
        <f>'[2]2012. évi előirányzat'!K81</f>
        <v>0</v>
      </c>
      <c r="M81" s="878">
        <f>'[2]2013. előirányzat'!J81</f>
        <v>0</v>
      </c>
      <c r="N81" s="878">
        <f>'[2]2013. előirányzat'!K81</f>
        <v>0</v>
      </c>
      <c r="O81" s="878">
        <f>'[2]2014. évi előirányzat'!J81</f>
        <v>0</v>
      </c>
      <c r="P81" s="878">
        <f>'[2]2014. évi előirányzat'!K81</f>
        <v>0</v>
      </c>
      <c r="Q81" s="878">
        <f>'[2]2015. évi előirányzat'!J81</f>
        <v>0</v>
      </c>
      <c r="R81" s="878">
        <f>'[2]2015. évi előirányzat'!K81</f>
        <v>0</v>
      </c>
      <c r="S81" s="878">
        <f>'[2]2016 előirányzat'!J81</f>
        <v>0</v>
      </c>
      <c r="T81" s="878">
        <f>'[2]2016 előirányzat'!K81</f>
        <v>0</v>
      </c>
      <c r="U81" s="878">
        <f>'[2]2017. előirányzat'!J81</f>
        <v>0</v>
      </c>
      <c r="V81" s="878">
        <f>'[2]2017. előirányzat'!K81</f>
        <v>-165500</v>
      </c>
      <c r="W81" s="878">
        <f>'[2]2018. előirányzat'!J81</f>
        <v>0</v>
      </c>
      <c r="X81" s="878">
        <f>'[2]2018. előirányzat'!K81</f>
        <v>0</v>
      </c>
      <c r="Y81" s="878">
        <f>'[2]2019. előirányzat'!J81</f>
        <v>0</v>
      </c>
      <c r="Z81" s="878">
        <f>'[2]2019. előirányzat'!K81</f>
        <v>0</v>
      </c>
      <c r="AA81" s="878">
        <f>'[2]2020. előirányzat'!G81</f>
        <v>0</v>
      </c>
      <c r="AB81" s="879">
        <f t="shared" si="10"/>
        <v>0</v>
      </c>
      <c r="AC81" s="879">
        <f t="shared" si="11"/>
        <v>-165500</v>
      </c>
      <c r="AD81" s="879">
        <f t="shared" si="12"/>
        <v>0</v>
      </c>
      <c r="AE81" s="879">
        <f t="shared" si="13"/>
        <v>-165500</v>
      </c>
      <c r="AF81" s="880">
        <f t="shared" si="14"/>
        <v>0</v>
      </c>
      <c r="AG81" s="880">
        <f>AE81+33100+132400</f>
        <v>0</v>
      </c>
      <c r="AH81" s="880">
        <f t="shared" si="15"/>
        <v>0</v>
      </c>
      <c r="AI81" s="878">
        <f>'[2]2021. előirányzat'!G81</f>
        <v>0</v>
      </c>
      <c r="AJ81" s="878">
        <f>'[2]2022. előirányzat'!G81</f>
        <v>0</v>
      </c>
      <c r="AK81" s="878">
        <f>'[2]2023. előirányzat'!G81</f>
        <v>0</v>
      </c>
      <c r="AL81" s="878">
        <f>'[2]2024. előirányzat'!G81</f>
        <v>0</v>
      </c>
      <c r="AM81" s="881">
        <f t="shared" si="16"/>
        <v>0</v>
      </c>
      <c r="AN81" s="881">
        <f t="shared" si="17"/>
        <v>0</v>
      </c>
      <c r="AO81" s="881">
        <f t="shared" si="18"/>
        <v>0</v>
      </c>
      <c r="AP81" s="881">
        <f t="shared" si="19"/>
        <v>0</v>
      </c>
      <c r="AQ81" s="882"/>
      <c r="AR81" s="883"/>
      <c r="AS81" s="884"/>
      <c r="AT81" s="882"/>
      <c r="AU81" s="882" t="s">
        <v>783</v>
      </c>
    </row>
    <row r="82" spans="1:51" ht="30" x14ac:dyDescent="0.25">
      <c r="A82" s="885" t="s">
        <v>564</v>
      </c>
      <c r="B82" s="759" t="str">
        <f>[1]előirányzat!B80</f>
        <v>Nemeskolta Község Önkormányzata</v>
      </c>
      <c r="C82" s="755">
        <v>390</v>
      </c>
      <c r="D82" s="878">
        <f>'[2]2009. évi előirányzat'!M82</f>
        <v>0</v>
      </c>
      <c r="E82" s="878">
        <f>'[2]2009. évi előirányzat'!N82</f>
        <v>0</v>
      </c>
      <c r="F82" s="878">
        <f>'[2]2009. évi előirányzat'!O82</f>
        <v>0</v>
      </c>
      <c r="G82" s="878">
        <f>'[2]2010. évi előirányzat'!J82</f>
        <v>0</v>
      </c>
      <c r="H82" s="878">
        <f>'[2]2010. évi előirányzat'!K82</f>
        <v>0</v>
      </c>
      <c r="I82" s="878">
        <f>'[2]2011. évi előirányzat'!J82</f>
        <v>0</v>
      </c>
      <c r="J82" s="878">
        <f>'[2]2011. évi előirányzat'!K82</f>
        <v>0</v>
      </c>
      <c r="K82" s="878">
        <f>'[2]2012. évi előirányzat'!J82</f>
        <v>0</v>
      </c>
      <c r="L82" s="878">
        <f>'[2]2012. évi előirányzat'!K82</f>
        <v>0</v>
      </c>
      <c r="M82" s="878">
        <f>'[2]2013. előirányzat'!J82</f>
        <v>0</v>
      </c>
      <c r="N82" s="878">
        <f>'[2]2013. előirányzat'!K82</f>
        <v>0</v>
      </c>
      <c r="O82" s="878">
        <f>'[2]2014. évi előirányzat'!J82</f>
        <v>0</v>
      </c>
      <c r="P82" s="878">
        <f>'[2]2014. évi előirányzat'!K82</f>
        <v>0</v>
      </c>
      <c r="Q82" s="878">
        <f>'[2]2015. évi előirányzat'!J82</f>
        <v>9068</v>
      </c>
      <c r="R82" s="878">
        <f>'[2]2015. évi előirányzat'!K82</f>
        <v>195000</v>
      </c>
      <c r="S82" s="878">
        <f>'[2]2016 előirányzat'!J82</f>
        <v>39000</v>
      </c>
      <c r="T82" s="878">
        <f>'[2]2016 előirányzat'!K82</f>
        <v>195000</v>
      </c>
      <c r="U82" s="878">
        <f>'[2]2017. előirányzat'!J82</f>
        <v>39000</v>
      </c>
      <c r="V82" s="878">
        <f>'[2]2017. előirányzat'!K82</f>
        <v>195000</v>
      </c>
      <c r="W82" s="878">
        <f>'[2]2018. előirányzat'!J82</f>
        <v>39000</v>
      </c>
      <c r="X82" s="878">
        <f>'[2]2018. előirányzat'!K82</f>
        <v>195000</v>
      </c>
      <c r="Y82" s="878">
        <f>'[2]2019. előirányzat'!J82</f>
        <v>39000</v>
      </c>
      <c r="Z82" s="878">
        <f>'[2]2019. előirányzat'!K82</f>
        <v>195000</v>
      </c>
      <c r="AA82" s="878">
        <f>'[2]2020. előirányzat'!G82</f>
        <v>39000</v>
      </c>
      <c r="AB82" s="879">
        <f t="shared" si="10"/>
        <v>204068</v>
      </c>
      <c r="AC82" s="879">
        <f t="shared" si="11"/>
        <v>975000</v>
      </c>
      <c r="AD82" s="879">
        <f t="shared" si="12"/>
        <v>0</v>
      </c>
      <c r="AE82" s="879">
        <f t="shared" si="13"/>
        <v>1179068</v>
      </c>
      <c r="AF82" s="880">
        <f t="shared" si="14"/>
        <v>204068</v>
      </c>
      <c r="AG82" s="880">
        <f>AC82</f>
        <v>975000</v>
      </c>
      <c r="AH82" s="880">
        <f t="shared" si="15"/>
        <v>1179068</v>
      </c>
      <c r="AI82" s="878">
        <f>'[2]2021. előirányzat'!G82</f>
        <v>39000</v>
      </c>
      <c r="AJ82" s="878">
        <f>'[2]2022. előirányzat'!G82</f>
        <v>39000</v>
      </c>
      <c r="AK82" s="878">
        <f>'[2]2023. előirányzat'!G82</f>
        <v>39000</v>
      </c>
      <c r="AL82" s="878">
        <f>'[2]2024. előirányzat'!G82</f>
        <v>0</v>
      </c>
      <c r="AM82" s="881">
        <f t="shared" si="16"/>
        <v>321068</v>
      </c>
      <c r="AN82" s="881">
        <f t="shared" si="17"/>
        <v>975000</v>
      </c>
      <c r="AO82" s="881">
        <f t="shared" si="18"/>
        <v>0</v>
      </c>
      <c r="AP82" s="881">
        <f t="shared" si="19"/>
        <v>1296068</v>
      </c>
      <c r="AQ82" s="888" t="s">
        <v>754</v>
      </c>
      <c r="AR82" s="883">
        <f>V82+X82+Z82</f>
        <v>585000</v>
      </c>
      <c r="AS82" s="884">
        <f>AP82-AR82</f>
        <v>711068</v>
      </c>
      <c r="AT82" s="882"/>
      <c r="AU82" s="882" t="s">
        <v>789</v>
      </c>
    </row>
    <row r="83" spans="1:51" ht="45" x14ac:dyDescent="0.25">
      <c r="A83" s="754" t="s">
        <v>565</v>
      </c>
      <c r="B83" s="757" t="str">
        <f>[1]előirányzat!B81</f>
        <v>Nemesmedves Község Önkormányzata</v>
      </c>
      <c r="C83" s="755">
        <v>21</v>
      </c>
      <c r="D83" s="878">
        <f>'[2]2009. évi előirányzat'!M83</f>
        <v>0</v>
      </c>
      <c r="E83" s="878">
        <f>'[2]2009. évi előirányzat'!N83</f>
        <v>0</v>
      </c>
      <c r="F83" s="878">
        <f>'[2]2009. évi előirányzat'!O83</f>
        <v>0</v>
      </c>
      <c r="G83" s="878">
        <f>'[2]2010. évi előirányzat'!J83</f>
        <v>0</v>
      </c>
      <c r="H83" s="878">
        <f>'[2]2010. évi előirányzat'!K83</f>
        <v>0</v>
      </c>
      <c r="I83" s="878">
        <f>'[2]2011. évi előirányzat'!J83</f>
        <v>0</v>
      </c>
      <c r="J83" s="878">
        <f>'[2]2011. évi előirányzat'!K83</f>
        <v>0</v>
      </c>
      <c r="K83" s="878">
        <f>'[2]2012. évi előirányzat'!J83</f>
        <v>0</v>
      </c>
      <c r="L83" s="878">
        <f>'[2]2012. évi előirányzat'!K83</f>
        <v>0</v>
      </c>
      <c r="M83" s="878">
        <f>'[2]2013. előirányzat'!J83</f>
        <v>0</v>
      </c>
      <c r="N83" s="878">
        <f>'[2]2013. előirányzat'!K83</f>
        <v>0</v>
      </c>
      <c r="O83" s="878">
        <f>'[2]2014. évi előirányzat'!J83</f>
        <v>0</v>
      </c>
      <c r="P83" s="878">
        <f>'[2]2014. évi előirányzat'!K83</f>
        <v>0</v>
      </c>
      <c r="Q83" s="878">
        <f>'[2]2015. évi előirányzat'!J83</f>
        <v>0</v>
      </c>
      <c r="R83" s="878">
        <f>'[2]2015. évi előirányzat'!K83</f>
        <v>0</v>
      </c>
      <c r="S83" s="878">
        <f>'[2]2016 előirányzat'!J83</f>
        <v>0</v>
      </c>
      <c r="T83" s="878">
        <f>'[2]2016 előirányzat'!K83</f>
        <v>0</v>
      </c>
      <c r="U83" s="878">
        <f>'[2]2017. előirányzat'!J83</f>
        <v>0</v>
      </c>
      <c r="V83" s="878">
        <f>'[2]2017. előirányzat'!K83</f>
        <v>0</v>
      </c>
      <c r="W83" s="878">
        <f>'[2]2018. előirányzat'!J83</f>
        <v>0</v>
      </c>
      <c r="X83" s="878">
        <f>'[2]2018. előirányzat'!K83</f>
        <v>0</v>
      </c>
      <c r="Y83" s="878">
        <f>'[2]2019. előirányzat'!J83</f>
        <v>0</v>
      </c>
      <c r="Z83" s="878">
        <f>'[2]2019. előirányzat'!K83</f>
        <v>0</v>
      </c>
      <c r="AA83" s="878">
        <f>'[2]2020. előirányzat'!G83</f>
        <v>0</v>
      </c>
      <c r="AB83" s="879">
        <f t="shared" si="10"/>
        <v>0</v>
      </c>
      <c r="AC83" s="879">
        <f t="shared" si="11"/>
        <v>0</v>
      </c>
      <c r="AD83" s="879">
        <f t="shared" si="12"/>
        <v>0</v>
      </c>
      <c r="AE83" s="879">
        <f t="shared" si="13"/>
        <v>0</v>
      </c>
      <c r="AF83" s="880">
        <f t="shared" si="14"/>
        <v>0</v>
      </c>
      <c r="AG83" s="880">
        <f>AE83</f>
        <v>0</v>
      </c>
      <c r="AH83" s="880">
        <f t="shared" si="15"/>
        <v>0</v>
      </c>
      <c r="AI83" s="878">
        <f>'[2]2021. előirányzat'!G83</f>
        <v>0</v>
      </c>
      <c r="AJ83" s="878">
        <f>'[2]2022. előirányzat'!G83</f>
        <v>0</v>
      </c>
      <c r="AK83" s="878">
        <f>'[2]2023. előirányzat'!G83</f>
        <v>0</v>
      </c>
      <c r="AL83" s="878">
        <f>'[2]2024. előirányzat'!G83</f>
        <v>0</v>
      </c>
      <c r="AM83" s="881">
        <f t="shared" si="16"/>
        <v>0</v>
      </c>
      <c r="AN83" s="881">
        <f t="shared" si="17"/>
        <v>0</v>
      </c>
      <c r="AO83" s="881">
        <f t="shared" si="18"/>
        <v>0</v>
      </c>
      <c r="AP83" s="881">
        <f t="shared" si="19"/>
        <v>0</v>
      </c>
      <c r="AQ83" s="882"/>
      <c r="AR83" s="883"/>
      <c r="AS83" s="884"/>
      <c r="AT83" s="882"/>
      <c r="AU83" s="882" t="s">
        <v>787</v>
      </c>
    </row>
    <row r="84" spans="1:51" ht="45" x14ac:dyDescent="0.25">
      <c r="A84" s="885" t="s">
        <v>566</v>
      </c>
      <c r="B84" s="757" t="str">
        <f>[1]előirányzat!B82</f>
        <v>Nemesrempeholló Község Önkormányzata</v>
      </c>
      <c r="C84" s="755">
        <v>304</v>
      </c>
      <c r="D84" s="878">
        <f>'[2]2009. évi előirányzat'!M84</f>
        <v>0</v>
      </c>
      <c r="E84" s="878">
        <f>'[2]2009. évi előirányzat'!N84</f>
        <v>0</v>
      </c>
      <c r="F84" s="878">
        <f>'[2]2009. évi előirányzat'!O84</f>
        <v>0</v>
      </c>
      <c r="G84" s="878">
        <f>'[2]2010. évi előirányzat'!J84</f>
        <v>0</v>
      </c>
      <c r="H84" s="878">
        <f>'[2]2010. évi előirányzat'!K84</f>
        <v>0</v>
      </c>
      <c r="I84" s="878">
        <f>'[2]2011. évi előirányzat'!J84</f>
        <v>0</v>
      </c>
      <c r="J84" s="878">
        <f>'[2]2011. évi előirányzat'!K84</f>
        <v>0</v>
      </c>
      <c r="K84" s="878">
        <f>'[2]2012. évi előirányzat'!J84</f>
        <v>0</v>
      </c>
      <c r="L84" s="878">
        <f>'[2]2012. évi előirányzat'!K84</f>
        <v>0</v>
      </c>
      <c r="M84" s="878">
        <f>'[2]2013. előirányzat'!J84</f>
        <v>0</v>
      </c>
      <c r="N84" s="878">
        <f>'[2]2013. előirányzat'!K84</f>
        <v>0</v>
      </c>
      <c r="O84" s="878">
        <f>'[2]2014. évi előirányzat'!J84</f>
        <v>0</v>
      </c>
      <c r="P84" s="878">
        <f>'[2]2014. évi előirányzat'!K84</f>
        <v>0</v>
      </c>
      <c r="Q84" s="878">
        <f>'[2]2015. évi előirányzat'!J84</f>
        <v>0</v>
      </c>
      <c r="R84" s="878">
        <f>'[2]2015. évi előirányzat'!K84</f>
        <v>0</v>
      </c>
      <c r="S84" s="878">
        <f>'[2]2016 előirányzat'!J84</f>
        <v>0</v>
      </c>
      <c r="T84" s="878">
        <f>'[2]2016 előirányzat'!K84</f>
        <v>0</v>
      </c>
      <c r="U84" s="878">
        <f>'[2]2017. előirányzat'!J84</f>
        <v>0</v>
      </c>
      <c r="V84" s="878">
        <f>'[2]2017. előirányzat'!K84</f>
        <v>0</v>
      </c>
      <c r="W84" s="878">
        <f>'[2]2018. előirányzat'!J84</f>
        <v>0</v>
      </c>
      <c r="X84" s="878">
        <f>'[2]2018. előirányzat'!K84</f>
        <v>0</v>
      </c>
      <c r="Y84" s="878">
        <f>'[2]2019. előirányzat'!J84</f>
        <v>0</v>
      </c>
      <c r="Z84" s="878">
        <f>'[2]2019. előirányzat'!K84</f>
        <v>0</v>
      </c>
      <c r="AA84" s="878">
        <f>'[2]2020. előirányzat'!G84</f>
        <v>0</v>
      </c>
      <c r="AB84" s="879">
        <f t="shared" si="10"/>
        <v>0</v>
      </c>
      <c r="AC84" s="879">
        <f t="shared" si="11"/>
        <v>0</v>
      </c>
      <c r="AD84" s="879">
        <f t="shared" si="12"/>
        <v>0</v>
      </c>
      <c r="AE84" s="879">
        <f t="shared" si="13"/>
        <v>0</v>
      </c>
      <c r="AF84" s="880">
        <f t="shared" si="14"/>
        <v>0</v>
      </c>
      <c r="AG84" s="880">
        <f>AC84</f>
        <v>0</v>
      </c>
      <c r="AH84" s="880">
        <f t="shared" si="15"/>
        <v>0</v>
      </c>
      <c r="AI84" s="878">
        <f>'[2]2021. előirányzat'!G84</f>
        <v>0</v>
      </c>
      <c r="AJ84" s="878">
        <f>'[2]2022. előirányzat'!G84</f>
        <v>0</v>
      </c>
      <c r="AK84" s="878">
        <f>'[2]2023. előirányzat'!G84</f>
        <v>0</v>
      </c>
      <c r="AL84" s="878">
        <f>'[2]2024. előirányzat'!G84</f>
        <v>0</v>
      </c>
      <c r="AM84" s="881">
        <f t="shared" si="16"/>
        <v>0</v>
      </c>
      <c r="AN84" s="881">
        <f t="shared" si="17"/>
        <v>0</v>
      </c>
      <c r="AO84" s="881">
        <f t="shared" si="18"/>
        <v>0</v>
      </c>
      <c r="AP84" s="881">
        <f t="shared" si="19"/>
        <v>0</v>
      </c>
      <c r="AQ84" s="882"/>
      <c r="AR84" s="883"/>
      <c r="AS84" s="884"/>
      <c r="AT84" s="882"/>
      <c r="AU84" s="882" t="s">
        <v>786</v>
      </c>
    </row>
    <row r="85" spans="1:51" ht="30" x14ac:dyDescent="0.25">
      <c r="A85" s="597" t="s">
        <v>567</v>
      </c>
      <c r="B85" s="758" t="str">
        <f>[1]előirányzat!B83</f>
        <v>Nick Község Önkormányzata</v>
      </c>
      <c r="C85" s="597"/>
      <c r="D85" s="597">
        <f>'[2]2009. évi előirányzat'!M85</f>
        <v>0</v>
      </c>
      <c r="E85" s="597">
        <f>'[2]2009. évi előirányzat'!N85</f>
        <v>0</v>
      </c>
      <c r="F85" s="597">
        <f>'[2]2009. évi előirányzat'!O85</f>
        <v>0</v>
      </c>
      <c r="G85" s="597">
        <f>'[2]2010. évi előirányzat'!J85</f>
        <v>0</v>
      </c>
      <c r="H85" s="597">
        <f>'[2]2010. évi előirányzat'!K85</f>
        <v>0</v>
      </c>
      <c r="I85" s="597">
        <f>'[2]2011. évi előirányzat'!J85</f>
        <v>0</v>
      </c>
      <c r="J85" s="597">
        <f>'[2]2011. évi előirányzat'!K85</f>
        <v>0</v>
      </c>
      <c r="K85" s="597">
        <f>'[2]2012. évi előirányzat'!J85</f>
        <v>0</v>
      </c>
      <c r="L85" s="597">
        <f>'[2]2012. évi előirányzat'!K85</f>
        <v>0</v>
      </c>
      <c r="M85" s="597">
        <f>'[2]2013. előirányzat'!J85</f>
        <v>0</v>
      </c>
      <c r="N85" s="597">
        <f>'[2]2013. előirányzat'!K85</f>
        <v>0</v>
      </c>
      <c r="O85" s="597">
        <f>'[2]2014. évi előirányzat'!J85</f>
        <v>0</v>
      </c>
      <c r="P85" s="597">
        <f>'[2]2014. évi előirányzat'!K85</f>
        <v>0</v>
      </c>
      <c r="Q85" s="597">
        <f>'[2]2015. évi előirányzat'!J85</f>
        <v>0</v>
      </c>
      <c r="R85" s="597">
        <f>'[2]2015. évi előirányzat'!K85</f>
        <v>0</v>
      </c>
      <c r="S85" s="597">
        <f>'[2]2016 előirányzat'!J85</f>
        <v>0</v>
      </c>
      <c r="T85" s="597">
        <f>'[2]2016 előirányzat'!K85</f>
        <v>0</v>
      </c>
      <c r="U85" s="597">
        <f>'[2]2017. előirányzat'!J85</f>
        <v>0</v>
      </c>
      <c r="V85" s="597">
        <f>'[2]2017. előirányzat'!K85</f>
        <v>0</v>
      </c>
      <c r="W85" s="597">
        <f>'[2]2018. előirányzat'!J85</f>
        <v>0</v>
      </c>
      <c r="X85" s="597">
        <f>'[2]2018. előirányzat'!K85</f>
        <v>0</v>
      </c>
      <c r="Y85" s="597">
        <f>'[2]2019. előirányzat'!J85</f>
        <v>0</v>
      </c>
      <c r="Z85" s="597">
        <f>'[2]2019. előirányzat'!K85</f>
        <v>0</v>
      </c>
      <c r="AA85" s="597">
        <f>'[2]2020. előirányzat'!G85</f>
        <v>0</v>
      </c>
      <c r="AB85" s="597">
        <f t="shared" si="10"/>
        <v>0</v>
      </c>
      <c r="AC85" s="597">
        <f t="shared" si="11"/>
        <v>0</v>
      </c>
      <c r="AD85" s="597">
        <f t="shared" si="12"/>
        <v>0</v>
      </c>
      <c r="AE85" s="597">
        <f t="shared" si="13"/>
        <v>0</v>
      </c>
      <c r="AF85" s="597"/>
      <c r="AG85" s="597"/>
      <c r="AH85" s="886">
        <f t="shared" si="15"/>
        <v>0</v>
      </c>
      <c r="AI85" s="887">
        <f>'[2]2021. előirányzat'!G85</f>
        <v>0</v>
      </c>
      <c r="AJ85" s="887">
        <f>'[2]2022. előirányzat'!G85</f>
        <v>0</v>
      </c>
      <c r="AK85" s="887">
        <f>'[2]2023. előirányzat'!G85</f>
        <v>0</v>
      </c>
      <c r="AL85" s="887">
        <f>'[2]2024. előirányzat'!G85</f>
        <v>0</v>
      </c>
      <c r="AM85" s="887">
        <f t="shared" si="16"/>
        <v>0</v>
      </c>
      <c r="AN85" s="886">
        <f t="shared" si="17"/>
        <v>0</v>
      </c>
      <c r="AO85" s="886">
        <f t="shared" si="18"/>
        <v>0</v>
      </c>
      <c r="AP85" s="886">
        <f t="shared" si="19"/>
        <v>0</v>
      </c>
      <c r="AQ85" s="882"/>
      <c r="AR85" s="883"/>
      <c r="AS85" s="884"/>
      <c r="AT85" s="882"/>
      <c r="AU85" s="882"/>
    </row>
    <row r="86" spans="1:51" ht="30" x14ac:dyDescent="0.25">
      <c r="A86" s="754" t="s">
        <v>568</v>
      </c>
      <c r="B86" s="757" t="str">
        <f>[1]előirányzat!B84</f>
        <v>Nyőgér Község Önkormányzata</v>
      </c>
      <c r="C86" s="755">
        <v>334</v>
      </c>
      <c r="D86" s="878">
        <f>'[2]2009. évi előirányzat'!M86</f>
        <v>0</v>
      </c>
      <c r="E86" s="878">
        <f>'[2]2009. évi előirányzat'!N86</f>
        <v>0</v>
      </c>
      <c r="F86" s="878">
        <f>'[2]2009. évi előirányzat'!O86</f>
        <v>0</v>
      </c>
      <c r="G86" s="878">
        <f>'[2]2010. évi előirányzat'!J86</f>
        <v>0</v>
      </c>
      <c r="H86" s="878">
        <f>'[2]2010. évi előirányzat'!K86</f>
        <v>0</v>
      </c>
      <c r="I86" s="878">
        <f>'[2]2011. évi előirányzat'!J86</f>
        <v>0</v>
      </c>
      <c r="J86" s="878">
        <f>'[2]2011. évi előirányzat'!K86</f>
        <v>0</v>
      </c>
      <c r="K86" s="878">
        <f>'[2]2012. évi előirányzat'!J86</f>
        <v>0</v>
      </c>
      <c r="L86" s="878">
        <f>'[2]2012. évi előirányzat'!K86</f>
        <v>0</v>
      </c>
      <c r="M86" s="878">
        <f>'[2]2013. előirányzat'!J86</f>
        <v>0</v>
      </c>
      <c r="N86" s="878">
        <f>'[2]2013. előirányzat'!K86</f>
        <v>0</v>
      </c>
      <c r="O86" s="878">
        <f>'[2]2014. évi előirányzat'!J86</f>
        <v>0</v>
      </c>
      <c r="P86" s="878">
        <f>'[2]2014. évi előirányzat'!K86</f>
        <v>0</v>
      </c>
      <c r="Q86" s="878">
        <f>'[2]2015. évi előirányzat'!J86</f>
        <v>0</v>
      </c>
      <c r="R86" s="878">
        <f>'[2]2015. évi előirányzat'!K86</f>
        <v>0</v>
      </c>
      <c r="S86" s="878">
        <f>'[2]2016 előirányzat'!J86</f>
        <v>0</v>
      </c>
      <c r="T86" s="878">
        <f>'[2]2016 előirányzat'!K86</f>
        <v>0</v>
      </c>
      <c r="U86" s="878">
        <f>'[2]2017. előirányzat'!J86</f>
        <v>0</v>
      </c>
      <c r="V86" s="878">
        <f>'[2]2017. előirányzat'!K86</f>
        <v>-167000</v>
      </c>
      <c r="W86" s="878">
        <f>'[2]2018. előirányzat'!J86</f>
        <v>0</v>
      </c>
      <c r="X86" s="878">
        <f>'[2]2018. előirányzat'!K86</f>
        <v>0</v>
      </c>
      <c r="Y86" s="878">
        <f>'[2]2019. előirányzat'!J86</f>
        <v>0</v>
      </c>
      <c r="Z86" s="878">
        <f>'[2]2019. előirányzat'!K86</f>
        <v>0</v>
      </c>
      <c r="AA86" s="878">
        <f>'[2]2020. előirányzat'!G86</f>
        <v>0</v>
      </c>
      <c r="AB86" s="879">
        <f t="shared" si="10"/>
        <v>0</v>
      </c>
      <c r="AC86" s="879">
        <f t="shared" si="11"/>
        <v>-167000</v>
      </c>
      <c r="AD86" s="879">
        <f t="shared" si="12"/>
        <v>0</v>
      </c>
      <c r="AE86" s="879">
        <f t="shared" si="13"/>
        <v>-167000</v>
      </c>
      <c r="AF86" s="880">
        <f t="shared" si="14"/>
        <v>0</v>
      </c>
      <c r="AG86" s="880">
        <f>AC86+(300+2*33400)+99900</f>
        <v>0</v>
      </c>
      <c r="AH86" s="880">
        <f t="shared" si="15"/>
        <v>0</v>
      </c>
      <c r="AI86" s="878">
        <f>'[2]2021. előirányzat'!G86</f>
        <v>0</v>
      </c>
      <c r="AJ86" s="878">
        <f>'[2]2022. előirányzat'!G86</f>
        <v>0</v>
      </c>
      <c r="AK86" s="878">
        <f>'[2]2023. előirányzat'!G86</f>
        <v>0</v>
      </c>
      <c r="AL86" s="878">
        <f>'[2]2024. előirányzat'!G86</f>
        <v>0</v>
      </c>
      <c r="AM86" s="881">
        <f t="shared" si="16"/>
        <v>0</v>
      </c>
      <c r="AN86" s="881">
        <f t="shared" si="17"/>
        <v>0</v>
      </c>
      <c r="AO86" s="881">
        <f t="shared" si="18"/>
        <v>0</v>
      </c>
      <c r="AP86" s="881">
        <f t="shared" si="19"/>
        <v>0</v>
      </c>
      <c r="AQ86" s="882"/>
      <c r="AR86" s="883"/>
      <c r="AS86" s="884"/>
      <c r="AT86" s="882"/>
      <c r="AU86" s="882" t="s">
        <v>783</v>
      </c>
    </row>
    <row r="87" spans="1:51" ht="30" x14ac:dyDescent="0.25">
      <c r="A87" s="885" t="s">
        <v>569</v>
      </c>
      <c r="B87" s="757" t="str">
        <f>[1]előirányzat!B85</f>
        <v>Ólmod Község Önkormányzata</v>
      </c>
      <c r="C87" s="755">
        <v>87</v>
      </c>
      <c r="D87" s="878">
        <f>'[2]2009. évi előirányzat'!M87</f>
        <v>0</v>
      </c>
      <c r="E87" s="878">
        <f>'[2]2009. évi előirányzat'!N87</f>
        <v>0</v>
      </c>
      <c r="F87" s="878">
        <f>'[2]2009. évi előirányzat'!O87</f>
        <v>0</v>
      </c>
      <c r="G87" s="878">
        <f>'[2]2010. évi előirányzat'!J87</f>
        <v>0</v>
      </c>
      <c r="H87" s="878">
        <f>'[2]2010. évi előirányzat'!K87</f>
        <v>0</v>
      </c>
      <c r="I87" s="878">
        <f>'[2]2011. évi előirányzat'!J87</f>
        <v>0</v>
      </c>
      <c r="J87" s="878">
        <f>'[2]2011. évi előirányzat'!K87</f>
        <v>0</v>
      </c>
      <c r="K87" s="878">
        <f>'[2]2012. évi előirányzat'!J87</f>
        <v>0</v>
      </c>
      <c r="L87" s="878">
        <f>'[2]2012. évi előirányzat'!K87</f>
        <v>0</v>
      </c>
      <c r="M87" s="878">
        <f>'[2]2013. előirányzat'!J87</f>
        <v>0</v>
      </c>
      <c r="N87" s="878">
        <f>'[2]2013. előirányzat'!K87</f>
        <v>0</v>
      </c>
      <c r="O87" s="878">
        <f>'[2]2014. évi előirányzat'!J87</f>
        <v>0</v>
      </c>
      <c r="P87" s="878">
        <f>'[2]2014. évi előirányzat'!K87</f>
        <v>0</v>
      </c>
      <c r="Q87" s="878">
        <f>'[2]2015. évi előirányzat'!J87</f>
        <v>0</v>
      </c>
      <c r="R87" s="878">
        <f>'[2]2015. évi előirányzat'!K87</f>
        <v>0</v>
      </c>
      <c r="S87" s="878">
        <f>'[2]2016 előirányzat'!J87</f>
        <v>0</v>
      </c>
      <c r="T87" s="878">
        <f>'[2]2016 előirányzat'!K87</f>
        <v>0</v>
      </c>
      <c r="U87" s="878">
        <f>'[2]2017. előirányzat'!J87</f>
        <v>0</v>
      </c>
      <c r="V87" s="878">
        <f>'[2]2017. előirányzat'!K87</f>
        <v>0</v>
      </c>
      <c r="W87" s="878">
        <f>'[2]2018. előirányzat'!J87</f>
        <v>0</v>
      </c>
      <c r="X87" s="878">
        <f>'[2]2018. előirányzat'!K87</f>
        <v>0</v>
      </c>
      <c r="Y87" s="878">
        <f>'[2]2019. előirányzat'!J87</f>
        <v>0</v>
      </c>
      <c r="Z87" s="878">
        <f>'[2]2019. előirányzat'!K87</f>
        <v>0</v>
      </c>
      <c r="AA87" s="878">
        <f>'[2]2020. előirányzat'!G87</f>
        <v>0</v>
      </c>
      <c r="AB87" s="879">
        <f t="shared" si="10"/>
        <v>0</v>
      </c>
      <c r="AC87" s="879">
        <f t="shared" si="11"/>
        <v>0</v>
      </c>
      <c r="AD87" s="879">
        <f t="shared" si="12"/>
        <v>0</v>
      </c>
      <c r="AE87" s="879">
        <f t="shared" si="13"/>
        <v>0</v>
      </c>
      <c r="AF87" s="880">
        <f t="shared" si="14"/>
        <v>0</v>
      </c>
      <c r="AG87" s="880">
        <f>AE87</f>
        <v>0</v>
      </c>
      <c r="AH87" s="880">
        <f t="shared" si="15"/>
        <v>0</v>
      </c>
      <c r="AI87" s="878">
        <f>'[2]2021. előirányzat'!G87</f>
        <v>0</v>
      </c>
      <c r="AJ87" s="878">
        <f>'[2]2022. előirányzat'!G87</f>
        <v>0</v>
      </c>
      <c r="AK87" s="878">
        <f>'[2]2023. előirányzat'!G87</f>
        <v>0</v>
      </c>
      <c r="AL87" s="878">
        <f>'[2]2024. előirányzat'!G87</f>
        <v>0</v>
      </c>
      <c r="AM87" s="881">
        <f t="shared" si="16"/>
        <v>0</v>
      </c>
      <c r="AN87" s="881">
        <f t="shared" si="17"/>
        <v>0</v>
      </c>
      <c r="AO87" s="881">
        <f t="shared" si="18"/>
        <v>0</v>
      </c>
      <c r="AP87" s="881">
        <f t="shared" si="19"/>
        <v>0</v>
      </c>
      <c r="AQ87" s="882"/>
      <c r="AR87" s="883"/>
      <c r="AS87" s="884"/>
      <c r="AT87" s="882"/>
      <c r="AU87" s="882" t="s">
        <v>784</v>
      </c>
    </row>
    <row r="88" spans="1:51" ht="30" x14ac:dyDescent="0.25">
      <c r="A88" s="885" t="s">
        <v>570</v>
      </c>
      <c r="B88" s="757" t="str">
        <f>[1]előirányzat!B86</f>
        <v>Orfalu Község Önkormányzata</v>
      </c>
      <c r="C88" s="755">
        <v>57</v>
      </c>
      <c r="D88" s="878">
        <f>'[2]2009. évi előirányzat'!M88</f>
        <v>0</v>
      </c>
      <c r="E88" s="878">
        <f>'[2]2009. évi előirányzat'!N88</f>
        <v>0</v>
      </c>
      <c r="F88" s="878">
        <f>'[2]2009. évi előirányzat'!O88</f>
        <v>0</v>
      </c>
      <c r="G88" s="878">
        <f>'[2]2010. évi előirányzat'!J88</f>
        <v>0</v>
      </c>
      <c r="H88" s="878">
        <f>'[2]2010. évi előirányzat'!K88</f>
        <v>0</v>
      </c>
      <c r="I88" s="878">
        <f>'[2]2011. évi előirányzat'!J88</f>
        <v>0</v>
      </c>
      <c r="J88" s="878">
        <f>'[2]2011. évi előirányzat'!K88</f>
        <v>0</v>
      </c>
      <c r="K88" s="878">
        <f>'[2]2012. évi előirányzat'!J88</f>
        <v>0</v>
      </c>
      <c r="L88" s="878">
        <f>'[2]2012. évi előirányzat'!K88</f>
        <v>0</v>
      </c>
      <c r="M88" s="878">
        <f>'[2]2013. előirányzat'!J88</f>
        <v>0</v>
      </c>
      <c r="N88" s="878">
        <f>'[2]2013. előirányzat'!K88</f>
        <v>0</v>
      </c>
      <c r="O88" s="878">
        <f>'[2]2014. évi előirányzat'!J88</f>
        <v>0</v>
      </c>
      <c r="P88" s="878">
        <f>'[2]2014. évi előirányzat'!K88</f>
        <v>0</v>
      </c>
      <c r="Q88" s="878">
        <f>'[2]2015. évi előirányzat'!J88</f>
        <v>0</v>
      </c>
      <c r="R88" s="878">
        <f>'[2]2015. évi előirányzat'!K88</f>
        <v>0</v>
      </c>
      <c r="S88" s="878">
        <f>'[2]2016 előirányzat'!J88</f>
        <v>0</v>
      </c>
      <c r="T88" s="878">
        <f>'[2]2016 előirányzat'!K88</f>
        <v>0</v>
      </c>
      <c r="U88" s="878">
        <f>'[2]2017. előirányzat'!J88</f>
        <v>0</v>
      </c>
      <c r="V88" s="878">
        <f>'[2]2017. előirányzat'!K88</f>
        <v>0</v>
      </c>
      <c r="W88" s="878">
        <f>'[2]2018. előirányzat'!J88</f>
        <v>0</v>
      </c>
      <c r="X88" s="878">
        <f>'[2]2018. előirányzat'!K88</f>
        <v>0</v>
      </c>
      <c r="Y88" s="878">
        <f>'[2]2019. előirányzat'!J88</f>
        <v>0</v>
      </c>
      <c r="Z88" s="878">
        <f>'[2]2019. előirányzat'!K88</f>
        <v>0</v>
      </c>
      <c r="AA88" s="878">
        <f>'[2]2020. előirányzat'!G88</f>
        <v>0</v>
      </c>
      <c r="AB88" s="879">
        <f t="shared" si="10"/>
        <v>0</v>
      </c>
      <c r="AC88" s="879">
        <f t="shared" si="11"/>
        <v>0</v>
      </c>
      <c r="AD88" s="879">
        <f t="shared" si="12"/>
        <v>0</v>
      </c>
      <c r="AE88" s="879">
        <f t="shared" si="13"/>
        <v>0</v>
      </c>
      <c r="AF88" s="880">
        <f t="shared" si="14"/>
        <v>0</v>
      </c>
      <c r="AG88" s="880">
        <f>AC88</f>
        <v>0</v>
      </c>
      <c r="AH88" s="880">
        <f t="shared" si="15"/>
        <v>0</v>
      </c>
      <c r="AI88" s="878">
        <f>'[2]2021. előirányzat'!G88</f>
        <v>0</v>
      </c>
      <c r="AJ88" s="878">
        <f>'[2]2022. előirányzat'!G88</f>
        <v>0</v>
      </c>
      <c r="AK88" s="878">
        <f>'[2]2023. előirányzat'!G88</f>
        <v>0</v>
      </c>
      <c r="AL88" s="878">
        <f>'[2]2024. előirányzat'!G88</f>
        <v>0</v>
      </c>
      <c r="AM88" s="881">
        <f t="shared" si="16"/>
        <v>0</v>
      </c>
      <c r="AN88" s="881">
        <f t="shared" si="17"/>
        <v>0</v>
      </c>
      <c r="AO88" s="881">
        <f t="shared" si="18"/>
        <v>0</v>
      </c>
      <c r="AP88" s="881">
        <f t="shared" si="19"/>
        <v>0</v>
      </c>
      <c r="AQ88" s="882"/>
      <c r="AR88" s="883"/>
      <c r="AS88" s="884"/>
      <c r="AT88" s="882"/>
      <c r="AU88" s="882" t="s">
        <v>787</v>
      </c>
    </row>
    <row r="89" spans="1:51" ht="45" x14ac:dyDescent="0.25">
      <c r="A89" s="754" t="s">
        <v>571</v>
      </c>
      <c r="B89" s="757" t="str">
        <f>[1]előirányzat!B87</f>
        <v>Ostffyasszonyfa Község Önkormányzata</v>
      </c>
      <c r="C89" s="755">
        <v>834</v>
      </c>
      <c r="D89" s="878">
        <f>'[2]2009. évi előirányzat'!M89</f>
        <v>0</v>
      </c>
      <c r="E89" s="878">
        <f>'[2]2009. évi előirányzat'!N89</f>
        <v>0</v>
      </c>
      <c r="F89" s="878">
        <f>'[2]2009. évi előirányzat'!O89</f>
        <v>0</v>
      </c>
      <c r="G89" s="878">
        <f>'[2]2010. évi előirányzat'!J89</f>
        <v>0</v>
      </c>
      <c r="H89" s="878">
        <f>'[2]2010. évi előirányzat'!K89</f>
        <v>0</v>
      </c>
      <c r="I89" s="878">
        <f>'[2]2011. évi előirányzat'!J89</f>
        <v>0</v>
      </c>
      <c r="J89" s="878">
        <f>'[2]2011. évi előirányzat'!K89</f>
        <v>0</v>
      </c>
      <c r="K89" s="878">
        <f>'[2]2012. évi előirányzat'!J89</f>
        <v>0</v>
      </c>
      <c r="L89" s="878">
        <f>'[2]2012. évi előirányzat'!K89</f>
        <v>0</v>
      </c>
      <c r="M89" s="878">
        <f>'[2]2013. előirányzat'!J89</f>
        <v>0</v>
      </c>
      <c r="N89" s="878">
        <f>'[2]2013. előirányzat'!K89</f>
        <v>0</v>
      </c>
      <c r="O89" s="878">
        <f>'[2]2014. évi előirányzat'!J89</f>
        <v>0</v>
      </c>
      <c r="P89" s="878">
        <f>'[2]2014. évi előirányzat'!K89</f>
        <v>0</v>
      </c>
      <c r="Q89" s="878">
        <f>'[2]2015. évi előirányzat'!J89</f>
        <v>0</v>
      </c>
      <c r="R89" s="878">
        <f>'[2]2015. évi előirányzat'!K89</f>
        <v>0</v>
      </c>
      <c r="S89" s="878">
        <f>'[2]2016 előirányzat'!J89</f>
        <v>0</v>
      </c>
      <c r="T89" s="878">
        <f>'[2]2016 előirányzat'!K89</f>
        <v>0</v>
      </c>
      <c r="U89" s="878">
        <f>'[2]2017. előirányzat'!J89</f>
        <v>0</v>
      </c>
      <c r="V89" s="878">
        <f>'[2]2017. előirányzat'!K89</f>
        <v>-417000</v>
      </c>
      <c r="W89" s="878">
        <f>'[2]2018. előirányzat'!J89</f>
        <v>0</v>
      </c>
      <c r="X89" s="878">
        <f>'[2]2018. előirányzat'!K89</f>
        <v>-417000</v>
      </c>
      <c r="Y89" s="878">
        <f>'[2]2019. előirányzat'!J89</f>
        <v>0</v>
      </c>
      <c r="Z89" s="878">
        <f>'[2]2019. előirányzat'!K89</f>
        <v>0</v>
      </c>
      <c r="AA89" s="878">
        <f>'[2]2020. előirányzat'!G89</f>
        <v>0</v>
      </c>
      <c r="AB89" s="879">
        <f t="shared" si="10"/>
        <v>0</v>
      </c>
      <c r="AC89" s="879">
        <f t="shared" si="11"/>
        <v>-834000</v>
      </c>
      <c r="AD89" s="879">
        <f t="shared" si="12"/>
        <v>0</v>
      </c>
      <c r="AE89" s="879">
        <f t="shared" si="13"/>
        <v>-834000</v>
      </c>
      <c r="AF89" s="880">
        <f t="shared" si="14"/>
        <v>0</v>
      </c>
      <c r="AG89" s="880">
        <f>AE89+(2*83400)+667200</f>
        <v>0</v>
      </c>
      <c r="AH89" s="880">
        <f t="shared" si="15"/>
        <v>0</v>
      </c>
      <c r="AI89" s="878">
        <f>'[2]2021. előirányzat'!G89</f>
        <v>0</v>
      </c>
      <c r="AJ89" s="878">
        <f>'[2]2022. előirányzat'!G89</f>
        <v>0</v>
      </c>
      <c r="AK89" s="878">
        <f>'[2]2023. előirányzat'!G89</f>
        <v>0</v>
      </c>
      <c r="AL89" s="878">
        <f>'[2]2024. előirányzat'!G89</f>
        <v>0</v>
      </c>
      <c r="AM89" s="881">
        <f t="shared" si="16"/>
        <v>0</v>
      </c>
      <c r="AN89" s="881">
        <f t="shared" si="17"/>
        <v>0</v>
      </c>
      <c r="AO89" s="881">
        <f t="shared" si="18"/>
        <v>0</v>
      </c>
      <c r="AP89" s="881">
        <f t="shared" si="19"/>
        <v>0</v>
      </c>
      <c r="AQ89" s="882"/>
      <c r="AR89" s="883"/>
      <c r="AS89" s="884"/>
      <c r="AT89" s="882"/>
      <c r="AU89" s="882" t="s">
        <v>783</v>
      </c>
    </row>
    <row r="90" spans="1:51" ht="30" x14ac:dyDescent="0.25">
      <c r="A90" s="885" t="s">
        <v>572</v>
      </c>
      <c r="B90" s="757" t="str">
        <f>[1]előirányzat!B88</f>
        <v>Ölbő Község Önkormányzata</v>
      </c>
      <c r="C90" s="755">
        <f>[1]előirányzat!D88</f>
        <v>771</v>
      </c>
      <c r="D90" s="878">
        <f>'[2]2009. évi előirányzat'!M90</f>
        <v>0</v>
      </c>
      <c r="E90" s="878">
        <f>'[2]2009. évi előirányzat'!N90</f>
        <v>0</v>
      </c>
      <c r="F90" s="878">
        <f>'[2]2009. évi előirányzat'!O90</f>
        <v>0</v>
      </c>
      <c r="G90" s="878">
        <f>'[2]2010. évi előirányzat'!J90</f>
        <v>0</v>
      </c>
      <c r="H90" s="878">
        <f>'[2]2010. évi előirányzat'!K90</f>
        <v>0</v>
      </c>
      <c r="I90" s="878">
        <f>'[2]2011. évi előirányzat'!J90</f>
        <v>0</v>
      </c>
      <c r="J90" s="878">
        <f>'[2]2011. évi előirányzat'!K90</f>
        <v>0</v>
      </c>
      <c r="K90" s="878">
        <f>'[2]2012. évi előirányzat'!J90</f>
        <v>0</v>
      </c>
      <c r="L90" s="878">
        <f>'[2]2012. évi előirányzat'!K90</f>
        <v>0</v>
      </c>
      <c r="M90" s="878">
        <f>'[2]2013. előirányzat'!J90</f>
        <v>0</v>
      </c>
      <c r="N90" s="878">
        <f>'[2]2013. előirányzat'!K90</f>
        <v>0</v>
      </c>
      <c r="O90" s="878">
        <f>'[2]2014. évi előirányzat'!J90</f>
        <v>0</v>
      </c>
      <c r="P90" s="878">
        <f>'[2]2014. évi előirányzat'!K90</f>
        <v>0</v>
      </c>
      <c r="Q90" s="878">
        <f>'[2]2015. évi előirányzat'!J90</f>
        <v>0</v>
      </c>
      <c r="R90" s="878">
        <f>'[2]2015. évi előirányzat'!K90</f>
        <v>0</v>
      </c>
      <c r="S90" s="878">
        <f>'[2]2016 előirányzat'!J90</f>
        <v>0</v>
      </c>
      <c r="T90" s="878">
        <f>'[2]2016 előirányzat'!K90</f>
        <v>0</v>
      </c>
      <c r="U90" s="878">
        <f>'[2]2017. előirányzat'!J90</f>
        <v>0</v>
      </c>
      <c r="V90" s="878">
        <f>'[2]2017. előirányzat'!K90</f>
        <v>0</v>
      </c>
      <c r="W90" s="878">
        <f>'[2]2018. előirányzat'!J90</f>
        <v>0</v>
      </c>
      <c r="X90" s="878">
        <f>'[2]2018. előirányzat'!K90</f>
        <v>0</v>
      </c>
      <c r="Y90" s="878">
        <f>'[2]2019. előirányzat'!J90</f>
        <v>0</v>
      </c>
      <c r="Z90" s="878">
        <f>'[2]2019. előirányzat'!K90</f>
        <v>0</v>
      </c>
      <c r="AA90" s="878">
        <f>'[2]2020. előirányzat'!G90</f>
        <v>0</v>
      </c>
      <c r="AB90" s="879">
        <f t="shared" si="10"/>
        <v>0</v>
      </c>
      <c r="AC90" s="879">
        <f t="shared" si="11"/>
        <v>0</v>
      </c>
      <c r="AD90" s="879">
        <f t="shared" si="12"/>
        <v>0</v>
      </c>
      <c r="AE90" s="879">
        <f t="shared" si="13"/>
        <v>0</v>
      </c>
      <c r="AF90" s="880">
        <f t="shared" si="14"/>
        <v>0</v>
      </c>
      <c r="AG90" s="880">
        <f>AE90</f>
        <v>0</v>
      </c>
      <c r="AH90" s="880">
        <f t="shared" si="15"/>
        <v>0</v>
      </c>
      <c r="AI90" s="878">
        <f>'[2]2021. előirányzat'!G90</f>
        <v>0</v>
      </c>
      <c r="AJ90" s="878">
        <f>'[2]2022. előirányzat'!G90</f>
        <v>0</v>
      </c>
      <c r="AK90" s="878">
        <f>'[2]2023. előirányzat'!G90</f>
        <v>0</v>
      </c>
      <c r="AL90" s="878">
        <f>'[2]2024. előirányzat'!G90</f>
        <v>0</v>
      </c>
      <c r="AM90" s="881">
        <f t="shared" si="16"/>
        <v>0</v>
      </c>
      <c r="AN90" s="881">
        <f t="shared" si="17"/>
        <v>0</v>
      </c>
      <c r="AO90" s="881">
        <f t="shared" si="18"/>
        <v>0</v>
      </c>
      <c r="AP90" s="881">
        <f t="shared" si="19"/>
        <v>0</v>
      </c>
      <c r="AQ90" s="882"/>
      <c r="AR90" s="883"/>
      <c r="AS90" s="884"/>
      <c r="AT90" s="882"/>
      <c r="AU90" s="882" t="s">
        <v>783</v>
      </c>
    </row>
    <row r="91" spans="1:51" ht="45" x14ac:dyDescent="0.25">
      <c r="A91" s="885" t="s">
        <v>573</v>
      </c>
      <c r="B91" s="757" t="str">
        <f>[1]előirányzat!B89</f>
        <v>Őrimagyarosd Község Önkormányzata</v>
      </c>
      <c r="C91" s="755">
        <v>234</v>
      </c>
      <c r="D91" s="878">
        <f>'[2]2009. évi előirányzat'!M91</f>
        <v>0</v>
      </c>
      <c r="E91" s="878">
        <f>'[2]2009. évi előirányzat'!N91</f>
        <v>0</v>
      </c>
      <c r="F91" s="878">
        <f>'[2]2009. évi előirányzat'!O91</f>
        <v>0</v>
      </c>
      <c r="G91" s="878">
        <f>'[2]2010. évi előirányzat'!J91</f>
        <v>0</v>
      </c>
      <c r="H91" s="878">
        <f>'[2]2010. évi előirányzat'!K91</f>
        <v>0</v>
      </c>
      <c r="I91" s="878">
        <f>'[2]2011. évi előirányzat'!J91</f>
        <v>0</v>
      </c>
      <c r="J91" s="878">
        <f>'[2]2011. évi előirányzat'!K91</f>
        <v>0</v>
      </c>
      <c r="K91" s="878">
        <f>'[2]2012. évi előirányzat'!J91</f>
        <v>0</v>
      </c>
      <c r="L91" s="878">
        <f>'[2]2012. évi előirányzat'!K91</f>
        <v>0</v>
      </c>
      <c r="M91" s="878">
        <f>'[2]2013. előirányzat'!J91</f>
        <v>0</v>
      </c>
      <c r="N91" s="878">
        <f>'[2]2013. előirányzat'!K91</f>
        <v>0</v>
      </c>
      <c r="O91" s="878">
        <f>'[2]2014. évi előirányzat'!J91</f>
        <v>0</v>
      </c>
      <c r="P91" s="878">
        <f>'[2]2014. évi előirányzat'!K91</f>
        <v>0</v>
      </c>
      <c r="Q91" s="878">
        <f>'[2]2015. évi előirányzat'!J91</f>
        <v>0</v>
      </c>
      <c r="R91" s="878">
        <f>'[2]2015. évi előirányzat'!K91</f>
        <v>0</v>
      </c>
      <c r="S91" s="878">
        <f>'[2]2016 előirányzat'!J91</f>
        <v>0</v>
      </c>
      <c r="T91" s="878">
        <f>'[2]2016 előirányzat'!K91</f>
        <v>0</v>
      </c>
      <c r="U91" s="878">
        <f>'[2]2017. előirányzat'!J91</f>
        <v>0</v>
      </c>
      <c r="V91" s="878">
        <f>'[2]2017. előirányzat'!K91</f>
        <v>-117000</v>
      </c>
      <c r="W91" s="878">
        <f>'[2]2018. előirányzat'!J91</f>
        <v>0</v>
      </c>
      <c r="X91" s="878">
        <f>'[2]2018. előirányzat'!K91</f>
        <v>-117000</v>
      </c>
      <c r="Y91" s="878">
        <f>'[2]2019. előirányzat'!J91</f>
        <v>0</v>
      </c>
      <c r="Z91" s="878">
        <f>'[2]2019. előirányzat'!K91</f>
        <v>-117000</v>
      </c>
      <c r="AA91" s="878">
        <f>'[2]2020. előirányzat'!G91</f>
        <v>0</v>
      </c>
      <c r="AB91" s="879">
        <f t="shared" si="10"/>
        <v>0</v>
      </c>
      <c r="AC91" s="879">
        <f t="shared" si="11"/>
        <v>-351000</v>
      </c>
      <c r="AD91" s="879">
        <f t="shared" si="12"/>
        <v>0</v>
      </c>
      <c r="AE91" s="879">
        <f t="shared" si="13"/>
        <v>-351000</v>
      </c>
      <c r="AF91" s="880">
        <f t="shared" si="14"/>
        <v>0</v>
      </c>
      <c r="AG91" s="880">
        <f>AE91+23400+327600</f>
        <v>0</v>
      </c>
      <c r="AH91" s="880">
        <f t="shared" si="15"/>
        <v>0</v>
      </c>
      <c r="AI91" s="878">
        <f>'[2]2021. előirányzat'!G91</f>
        <v>0</v>
      </c>
      <c r="AJ91" s="878">
        <f>'[2]2022. előirányzat'!G91</f>
        <v>0</v>
      </c>
      <c r="AK91" s="878">
        <f>'[2]2023. előirányzat'!G91</f>
        <v>0</v>
      </c>
      <c r="AL91" s="878">
        <f>'[2]2024. előirányzat'!G91</f>
        <v>0</v>
      </c>
      <c r="AM91" s="881">
        <f t="shared" si="16"/>
        <v>0</v>
      </c>
      <c r="AN91" s="881">
        <f t="shared" si="17"/>
        <v>0</v>
      </c>
      <c r="AO91" s="881">
        <f t="shared" si="18"/>
        <v>0</v>
      </c>
      <c r="AP91" s="881">
        <f t="shared" si="19"/>
        <v>0</v>
      </c>
      <c r="AQ91" s="882"/>
      <c r="AR91" s="883"/>
      <c r="AS91" s="884"/>
      <c r="AT91" s="882"/>
      <c r="AU91" s="882" t="s">
        <v>781</v>
      </c>
    </row>
    <row r="92" spans="1:51" ht="45" x14ac:dyDescent="0.25">
      <c r="A92" s="754" t="s">
        <v>574</v>
      </c>
      <c r="B92" s="755" t="str">
        <f>[1]előirányzat!B90</f>
        <v>Őriszentpéter Község Önkormányzata</v>
      </c>
      <c r="C92" s="755">
        <v>1233</v>
      </c>
      <c r="D92" s="878">
        <f>'[2]2009. évi előirányzat'!M92</f>
        <v>0</v>
      </c>
      <c r="E92" s="878">
        <f>'[2]2009. évi előirányzat'!N92</f>
        <v>0</v>
      </c>
      <c r="F92" s="878">
        <f>'[2]2009. évi előirányzat'!O92</f>
        <v>0</v>
      </c>
      <c r="G92" s="878">
        <f>'[2]2010. évi előirányzat'!J92</f>
        <v>0</v>
      </c>
      <c r="H92" s="878">
        <f>'[2]2010. évi előirányzat'!K92</f>
        <v>0</v>
      </c>
      <c r="I92" s="878">
        <f>'[2]2011. évi előirányzat'!J92</f>
        <v>0</v>
      </c>
      <c r="J92" s="878">
        <f>'[2]2011. évi előirányzat'!K92</f>
        <v>0</v>
      </c>
      <c r="K92" s="878">
        <f>'[2]2012. évi előirányzat'!J92</f>
        <v>0</v>
      </c>
      <c r="L92" s="878">
        <f>'[2]2012. évi előirányzat'!K92</f>
        <v>0</v>
      </c>
      <c r="M92" s="878">
        <f>'[2]2013. előirányzat'!J92</f>
        <v>0</v>
      </c>
      <c r="N92" s="878">
        <f>'[2]2013. előirányzat'!K92</f>
        <v>0</v>
      </c>
      <c r="O92" s="878">
        <f>'[2]2014. évi előirányzat'!J92</f>
        <v>0</v>
      </c>
      <c r="P92" s="878">
        <f>'[2]2014. évi előirányzat'!K92</f>
        <v>0</v>
      </c>
      <c r="Q92" s="878">
        <f>'[2]2015. évi előirányzat'!J92</f>
        <v>0</v>
      </c>
      <c r="R92" s="878">
        <f>'[2]2015. évi előirányzat'!K92</f>
        <v>0</v>
      </c>
      <c r="S92" s="878">
        <f>'[2]2016 előirányzat'!J92</f>
        <v>0</v>
      </c>
      <c r="T92" s="878">
        <f>'[2]2016 előirányzat'!K92</f>
        <v>0</v>
      </c>
      <c r="U92" s="878">
        <f>'[2]2017. előirányzat'!J92</f>
        <v>61650.000000000015</v>
      </c>
      <c r="V92" s="878">
        <f>'[2]2017. előirányzat'!K92</f>
        <v>616500</v>
      </c>
      <c r="W92" s="878">
        <f>'[2]2018. előirányzat'!J92</f>
        <v>123300.00000000001</v>
      </c>
      <c r="X92" s="878">
        <f>'[2]2018. előirányzat'!K92</f>
        <v>616500</v>
      </c>
      <c r="Y92" s="878">
        <f>'[2]2019. előirányzat'!J92</f>
        <v>123300.00000000001</v>
      </c>
      <c r="Z92" s="878">
        <f>'[2]2019. előirányzat'!K92</f>
        <v>616500</v>
      </c>
      <c r="AA92" s="878">
        <f>'[2]2020. előirányzat'!G92</f>
        <v>123300.00000000001</v>
      </c>
      <c r="AB92" s="879">
        <f t="shared" si="10"/>
        <v>431550.00000000006</v>
      </c>
      <c r="AC92" s="879">
        <f t="shared" si="11"/>
        <v>1849500</v>
      </c>
      <c r="AD92" s="879">
        <f t="shared" si="12"/>
        <v>0</v>
      </c>
      <c r="AE92" s="879">
        <f t="shared" si="13"/>
        <v>2281050</v>
      </c>
      <c r="AF92" s="880">
        <f t="shared" si="14"/>
        <v>431550.00000000006</v>
      </c>
      <c r="AG92" s="880">
        <f>AC92</f>
        <v>1849500</v>
      </c>
      <c r="AH92" s="880">
        <f t="shared" si="15"/>
        <v>2281050</v>
      </c>
      <c r="AI92" s="878">
        <f>'[2]2021. előirányzat'!G92</f>
        <v>123300.00000000001</v>
      </c>
      <c r="AJ92" s="878">
        <f>'[2]2022. előirányzat'!G92</f>
        <v>123300.00000000001</v>
      </c>
      <c r="AK92" s="878">
        <f>'[2]2023. előirányzat'!G92</f>
        <v>123300.00000000001</v>
      </c>
      <c r="AL92" s="878">
        <f>'[2]2024. előirányzat'!G92</f>
        <v>0</v>
      </c>
      <c r="AM92" s="881">
        <f t="shared" si="16"/>
        <v>801450.00000000012</v>
      </c>
      <c r="AN92" s="881">
        <f t="shared" si="17"/>
        <v>1849500</v>
      </c>
      <c r="AO92" s="881">
        <f t="shared" si="18"/>
        <v>0</v>
      </c>
      <c r="AP92" s="881">
        <f t="shared" si="19"/>
        <v>2650950</v>
      </c>
      <c r="AQ92" s="882"/>
      <c r="AR92" s="883">
        <f>V92+X92+Z92</f>
        <v>1849500</v>
      </c>
      <c r="AS92" s="884">
        <f>AP92-AR92</f>
        <v>801450</v>
      </c>
      <c r="AT92" s="882"/>
      <c r="AU92" s="882" t="s">
        <v>781</v>
      </c>
    </row>
    <row r="93" spans="1:51" ht="30" x14ac:dyDescent="0.25">
      <c r="A93" s="885" t="s">
        <v>575</v>
      </c>
      <c r="B93" s="757" t="str">
        <f>[1]előirányzat!B91</f>
        <v>Pankasz Község Önkormányzata</v>
      </c>
      <c r="C93" s="755">
        <v>443</v>
      </c>
      <c r="D93" s="878">
        <f>'[2]2009. évi előirányzat'!M93</f>
        <v>0</v>
      </c>
      <c r="E93" s="878">
        <f>'[2]2009. évi előirányzat'!N93</f>
        <v>0</v>
      </c>
      <c r="F93" s="878">
        <f>'[2]2009. évi előirányzat'!O93</f>
        <v>0</v>
      </c>
      <c r="G93" s="878">
        <f>'[2]2010. évi előirányzat'!J93</f>
        <v>0</v>
      </c>
      <c r="H93" s="878">
        <f>'[2]2010. évi előirányzat'!K93</f>
        <v>0</v>
      </c>
      <c r="I93" s="878">
        <f>'[2]2011. évi előirányzat'!J93</f>
        <v>0</v>
      </c>
      <c r="J93" s="878">
        <f>'[2]2011. évi előirányzat'!K93</f>
        <v>0</v>
      </c>
      <c r="K93" s="878">
        <f>'[2]2012. évi előirányzat'!J93</f>
        <v>0</v>
      </c>
      <c r="L93" s="878">
        <f>'[2]2012. évi előirányzat'!K93</f>
        <v>0</v>
      </c>
      <c r="M93" s="878">
        <f>'[2]2013. előirányzat'!J93</f>
        <v>0</v>
      </c>
      <c r="N93" s="878">
        <f>'[2]2013. előirányzat'!K93</f>
        <v>0</v>
      </c>
      <c r="O93" s="878">
        <f>'[2]2014. évi előirányzat'!J93</f>
        <v>0</v>
      </c>
      <c r="P93" s="878">
        <f>'[2]2014. évi előirányzat'!K93</f>
        <v>0</v>
      </c>
      <c r="Q93" s="878">
        <f>'[2]2015. évi előirányzat'!J93</f>
        <v>0</v>
      </c>
      <c r="R93" s="878">
        <f>'[2]2015. évi előirányzat'!K93</f>
        <v>0</v>
      </c>
      <c r="S93" s="878">
        <f>'[2]2016 előirányzat'!J93</f>
        <v>0</v>
      </c>
      <c r="T93" s="878">
        <f>'[2]2016 előirányzat'!K93</f>
        <v>0</v>
      </c>
      <c r="U93" s="878">
        <f>'[2]2017. előirányzat'!J93</f>
        <v>0</v>
      </c>
      <c r="V93" s="878">
        <f>'[2]2017. előirányzat'!K93</f>
        <v>-221500</v>
      </c>
      <c r="W93" s="878">
        <f>'[2]2018. előirányzat'!J93</f>
        <v>0</v>
      </c>
      <c r="X93" s="878">
        <f>'[2]2018. előirányzat'!K93</f>
        <v>-221500</v>
      </c>
      <c r="Y93" s="878">
        <f>'[2]2019. előirányzat'!J93</f>
        <v>0</v>
      </c>
      <c r="Z93" s="878">
        <f>'[2]2019. előirányzat'!K93</f>
        <v>-221500</v>
      </c>
      <c r="AA93" s="878">
        <f>'[2]2020. előirányzat'!G93</f>
        <v>0</v>
      </c>
      <c r="AB93" s="879">
        <f t="shared" si="10"/>
        <v>0</v>
      </c>
      <c r="AC93" s="879">
        <f t="shared" si="11"/>
        <v>-664500</v>
      </c>
      <c r="AD93" s="879">
        <f t="shared" si="12"/>
        <v>0</v>
      </c>
      <c r="AE93" s="879">
        <f t="shared" si="13"/>
        <v>-664500</v>
      </c>
      <c r="AF93" s="880">
        <f t="shared" si="14"/>
        <v>0</v>
      </c>
      <c r="AG93" s="880">
        <f>AE93+44300+620200</f>
        <v>0</v>
      </c>
      <c r="AH93" s="880">
        <f t="shared" si="15"/>
        <v>0</v>
      </c>
      <c r="AI93" s="878">
        <f>'[2]2021. előirányzat'!G93</f>
        <v>0</v>
      </c>
      <c r="AJ93" s="878">
        <f>'[2]2022. előirányzat'!G93</f>
        <v>0</v>
      </c>
      <c r="AK93" s="878">
        <f>'[2]2023. előirányzat'!G93</f>
        <v>0</v>
      </c>
      <c r="AL93" s="878">
        <f>'[2]2024. előirányzat'!G93</f>
        <v>0</v>
      </c>
      <c r="AM93" s="881">
        <f t="shared" si="16"/>
        <v>0</v>
      </c>
      <c r="AN93" s="881">
        <f t="shared" si="17"/>
        <v>0</v>
      </c>
      <c r="AO93" s="881">
        <f t="shared" si="18"/>
        <v>0</v>
      </c>
      <c r="AP93" s="881">
        <f t="shared" si="19"/>
        <v>0</v>
      </c>
      <c r="AQ93" s="882"/>
      <c r="AR93" s="883"/>
      <c r="AS93" s="884"/>
      <c r="AT93" s="882"/>
      <c r="AU93" s="882" t="s">
        <v>781</v>
      </c>
    </row>
    <row r="94" spans="1:51" ht="30" x14ac:dyDescent="0.25">
      <c r="A94" s="885" t="s">
        <v>576</v>
      </c>
      <c r="B94" s="757" t="str">
        <f>[1]előirányzat!B92</f>
        <v>Pápoc Község Önkormányzata</v>
      </c>
      <c r="C94" s="755">
        <v>360</v>
      </c>
      <c r="D94" s="878">
        <f>'[2]2009. évi előirányzat'!M94</f>
        <v>0</v>
      </c>
      <c r="E94" s="878">
        <f>'[2]2009. évi előirányzat'!N94</f>
        <v>0</v>
      </c>
      <c r="F94" s="878">
        <f>'[2]2009. évi előirányzat'!O94</f>
        <v>0</v>
      </c>
      <c r="G94" s="878">
        <f>'[2]2010. évi előirányzat'!J94</f>
        <v>0</v>
      </c>
      <c r="H94" s="878">
        <f>'[2]2010. évi előirányzat'!K94</f>
        <v>0</v>
      </c>
      <c r="I94" s="878">
        <f>'[2]2011. évi előirányzat'!J94</f>
        <v>0</v>
      </c>
      <c r="J94" s="878">
        <f>'[2]2011. évi előirányzat'!K94</f>
        <v>0</v>
      </c>
      <c r="K94" s="878">
        <f>'[2]2012. évi előirányzat'!J94</f>
        <v>0</v>
      </c>
      <c r="L94" s="878">
        <f>'[2]2012. évi előirányzat'!K94</f>
        <v>0</v>
      </c>
      <c r="M94" s="878">
        <f>'[2]2013. előirányzat'!J94</f>
        <v>0</v>
      </c>
      <c r="N94" s="878">
        <f>'[2]2013. előirányzat'!K94</f>
        <v>0</v>
      </c>
      <c r="O94" s="878">
        <f>'[2]2014. évi előirányzat'!J94</f>
        <v>0</v>
      </c>
      <c r="P94" s="878">
        <f>'[2]2014. évi előirányzat'!K94</f>
        <v>0</v>
      </c>
      <c r="Q94" s="878">
        <f>'[2]2015. évi előirányzat'!J94</f>
        <v>0</v>
      </c>
      <c r="R94" s="878">
        <f>'[2]2015. évi előirányzat'!K94</f>
        <v>0</v>
      </c>
      <c r="S94" s="878">
        <f>'[2]2016 előirányzat'!J94</f>
        <v>0</v>
      </c>
      <c r="T94" s="878">
        <f>'[2]2016 előirányzat'!K94</f>
        <v>0</v>
      </c>
      <c r="U94" s="878">
        <f>'[2]2017. előirányzat'!J94</f>
        <v>0</v>
      </c>
      <c r="V94" s="878">
        <f>'[2]2017. előirányzat'!K94</f>
        <v>-180000</v>
      </c>
      <c r="W94" s="878">
        <f>'[2]2018. előirányzat'!J94</f>
        <v>0</v>
      </c>
      <c r="X94" s="878">
        <f>'[2]2018. előirányzat'!K94</f>
        <v>-109000</v>
      </c>
      <c r="Y94" s="878">
        <f>'[2]2019. előirányzat'!J94</f>
        <v>0</v>
      </c>
      <c r="Z94" s="878">
        <f>'[2]2019. előirányzat'!K94</f>
        <v>0</v>
      </c>
      <c r="AA94" s="878">
        <f>'[2]2020. előirányzat'!G94</f>
        <v>0</v>
      </c>
      <c r="AB94" s="879">
        <f t="shared" si="10"/>
        <v>0</v>
      </c>
      <c r="AC94" s="879">
        <f t="shared" si="11"/>
        <v>-289000</v>
      </c>
      <c r="AD94" s="879">
        <f t="shared" si="12"/>
        <v>0</v>
      </c>
      <c r="AE94" s="879">
        <f>(AB94+AC94+AD94)+3*36000+181000</f>
        <v>0</v>
      </c>
      <c r="AF94" s="880">
        <f t="shared" si="14"/>
        <v>0</v>
      </c>
      <c r="AG94" s="880">
        <f>AC94+180000+109000</f>
        <v>0</v>
      </c>
      <c r="AH94" s="880">
        <f t="shared" si="15"/>
        <v>0</v>
      </c>
      <c r="AI94" s="878">
        <f>'[2]2021. előirányzat'!G94</f>
        <v>0</v>
      </c>
      <c r="AJ94" s="878">
        <f>'[2]2022. előirányzat'!G94</f>
        <v>0</v>
      </c>
      <c r="AK94" s="878">
        <f>'[2]2023. előirányzat'!G94</f>
        <v>0</v>
      </c>
      <c r="AL94" s="878">
        <f>'[2]2024. előirányzat'!G94</f>
        <v>0</v>
      </c>
      <c r="AM94" s="881">
        <f t="shared" si="16"/>
        <v>0</v>
      </c>
      <c r="AN94" s="881">
        <f t="shared" si="17"/>
        <v>0</v>
      </c>
      <c r="AO94" s="881">
        <f t="shared" si="18"/>
        <v>0</v>
      </c>
      <c r="AP94" s="881">
        <f t="shared" si="19"/>
        <v>0</v>
      </c>
      <c r="AQ94" s="883"/>
      <c r="AR94" s="883"/>
      <c r="AS94" s="884"/>
      <c r="AT94" s="882"/>
      <c r="AU94" s="882" t="s">
        <v>783</v>
      </c>
    </row>
    <row r="95" spans="1:51" ht="30" x14ac:dyDescent="0.25">
      <c r="A95" s="754" t="s">
        <v>577</v>
      </c>
      <c r="B95" s="757" t="str">
        <f>[1]előirányzat!B93</f>
        <v>Pecöl Község Önkormányzata</v>
      </c>
      <c r="C95" s="755">
        <v>802</v>
      </c>
      <c r="D95" s="878">
        <f>'[2]2009. évi előirányzat'!M95</f>
        <v>0</v>
      </c>
      <c r="E95" s="878">
        <f>'[2]2009. évi előirányzat'!N95</f>
        <v>0</v>
      </c>
      <c r="F95" s="878">
        <f>'[2]2009. évi előirányzat'!O95</f>
        <v>0</v>
      </c>
      <c r="G95" s="878">
        <f>'[2]2010. évi előirányzat'!J95</f>
        <v>0</v>
      </c>
      <c r="H95" s="878">
        <f>'[2]2010. évi előirányzat'!K95</f>
        <v>0</v>
      </c>
      <c r="I95" s="878">
        <f>'[2]2011. évi előirányzat'!J95</f>
        <v>0</v>
      </c>
      <c r="J95" s="878">
        <f>'[2]2011. évi előirányzat'!K95</f>
        <v>0</v>
      </c>
      <c r="K95" s="878">
        <f>'[2]2012. évi előirányzat'!J95</f>
        <v>0</v>
      </c>
      <c r="L95" s="878">
        <f>'[2]2012. évi előirányzat'!K95</f>
        <v>0</v>
      </c>
      <c r="M95" s="878">
        <f>'[2]2013. előirányzat'!J95</f>
        <v>0</v>
      </c>
      <c r="N95" s="878">
        <f>'[2]2013. előirányzat'!K95</f>
        <v>0</v>
      </c>
      <c r="O95" s="878">
        <f>'[2]2014. évi előirányzat'!J95</f>
        <v>0</v>
      </c>
      <c r="P95" s="878">
        <f>'[2]2014. évi előirányzat'!K95</f>
        <v>0</v>
      </c>
      <c r="Q95" s="878">
        <f>'[2]2015. évi előirányzat'!J95</f>
        <v>0</v>
      </c>
      <c r="R95" s="878">
        <f>'[2]2015. évi előirányzat'!K95</f>
        <v>0</v>
      </c>
      <c r="S95" s="878">
        <f>'[2]2016 előirányzat'!J95</f>
        <v>0</v>
      </c>
      <c r="T95" s="878">
        <f>'[2]2016 előirányzat'!K95</f>
        <v>0</v>
      </c>
      <c r="U95" s="878">
        <f>'[2]2017. előirányzat'!J95</f>
        <v>0</v>
      </c>
      <c r="V95" s="878">
        <f>'[2]2017. előirányzat'!K95</f>
        <v>-401000</v>
      </c>
      <c r="W95" s="878">
        <f>'[2]2018. előirányzat'!J95</f>
        <v>0</v>
      </c>
      <c r="X95" s="878">
        <f>'[2]2018. előirányzat'!K95</f>
        <v>-401000</v>
      </c>
      <c r="Y95" s="878">
        <f>'[2]2019. előirányzat'!J95</f>
        <v>0</v>
      </c>
      <c r="Z95" s="878">
        <f>'[2]2019. előirányzat'!K95</f>
        <v>0</v>
      </c>
      <c r="AA95" s="878">
        <f>'[2]2020. előirányzat'!G95</f>
        <v>0</v>
      </c>
      <c r="AB95" s="879">
        <f t="shared" si="10"/>
        <v>0</v>
      </c>
      <c r="AC95" s="879">
        <f t="shared" si="11"/>
        <v>-802000</v>
      </c>
      <c r="AD95" s="879">
        <f t="shared" si="12"/>
        <v>0</v>
      </c>
      <c r="AE95" s="879">
        <f t="shared" si="13"/>
        <v>-802000</v>
      </c>
      <c r="AF95" s="880">
        <f t="shared" si="14"/>
        <v>0</v>
      </c>
      <c r="AG95" s="880">
        <f>AE95+(2*80200)+641600</f>
        <v>0</v>
      </c>
      <c r="AH95" s="880">
        <f t="shared" si="15"/>
        <v>0</v>
      </c>
      <c r="AI95" s="878">
        <f>'[2]2021. előirányzat'!G95</f>
        <v>0</v>
      </c>
      <c r="AJ95" s="878">
        <f>'[2]2022. előirányzat'!G95</f>
        <v>0</v>
      </c>
      <c r="AK95" s="878">
        <f>'[2]2023. előirányzat'!G95</f>
        <v>0</v>
      </c>
      <c r="AL95" s="878">
        <f>'[2]2024. előirányzat'!G95</f>
        <v>0</v>
      </c>
      <c r="AM95" s="881">
        <f t="shared" si="16"/>
        <v>0</v>
      </c>
      <c r="AN95" s="881">
        <f t="shared" si="17"/>
        <v>0</v>
      </c>
      <c r="AO95" s="881">
        <f t="shared" si="18"/>
        <v>0</v>
      </c>
      <c r="AP95" s="881">
        <f t="shared" si="19"/>
        <v>0</v>
      </c>
      <c r="AQ95" s="882"/>
      <c r="AR95" s="883"/>
      <c r="AS95" s="884"/>
      <c r="AT95" s="882"/>
      <c r="AU95" s="882" t="s">
        <v>783</v>
      </c>
    </row>
    <row r="96" spans="1:51" ht="30" x14ac:dyDescent="0.25">
      <c r="A96" s="885" t="s">
        <v>578</v>
      </c>
      <c r="B96" s="755" t="str">
        <f>[1]előirányzat!B94</f>
        <v>Perenye Község Önkormányzata</v>
      </c>
      <c r="C96" s="755">
        <v>691</v>
      </c>
      <c r="D96" s="878">
        <f>'[2]2009. évi előirányzat'!M96</f>
        <v>0</v>
      </c>
      <c r="E96" s="878">
        <f>'[2]2009. évi előirányzat'!N96</f>
        <v>0</v>
      </c>
      <c r="F96" s="878">
        <f>'[2]2009. évi előirányzat'!O96</f>
        <v>0</v>
      </c>
      <c r="G96" s="878">
        <f>'[2]2010. évi előirányzat'!J96</f>
        <v>0</v>
      </c>
      <c r="H96" s="878">
        <f>'[2]2010. évi előirányzat'!K96</f>
        <v>0</v>
      </c>
      <c r="I96" s="878">
        <f>'[2]2011. évi előirányzat'!J96</f>
        <v>0</v>
      </c>
      <c r="J96" s="878">
        <f>'[2]2011. évi előirányzat'!K96</f>
        <v>0</v>
      </c>
      <c r="K96" s="878">
        <f>'[2]2012. évi előirányzat'!J96</f>
        <v>0</v>
      </c>
      <c r="L96" s="878">
        <f>'[2]2012. évi előirányzat'!K96</f>
        <v>0</v>
      </c>
      <c r="M96" s="878">
        <f>'[2]2013. előirányzat'!J96</f>
        <v>0</v>
      </c>
      <c r="N96" s="878">
        <f>'[2]2013. előirányzat'!K96</f>
        <v>0</v>
      </c>
      <c r="O96" s="878">
        <f>'[2]2014. évi előirányzat'!J96</f>
        <v>0</v>
      </c>
      <c r="P96" s="878">
        <f>'[2]2014. évi előirányzat'!K96</f>
        <v>0</v>
      </c>
      <c r="Q96" s="878">
        <f>'[2]2015. évi előirányzat'!J96</f>
        <v>0</v>
      </c>
      <c r="R96" s="878">
        <f>'[2]2015. évi előirányzat'!K96</f>
        <v>0</v>
      </c>
      <c r="S96" s="878">
        <f>'[2]2016 előirányzat'!J96</f>
        <v>0</v>
      </c>
      <c r="T96" s="878">
        <f>'[2]2016 előirányzat'!K96</f>
        <v>190025</v>
      </c>
      <c r="U96" s="878">
        <f>'[2]2017. előirányzat'!J96</f>
        <v>69100.000000000015</v>
      </c>
      <c r="V96" s="878">
        <f>'[2]2017. előirányzat'!K96</f>
        <v>345500</v>
      </c>
      <c r="W96" s="878">
        <f>'[2]2018. előirányzat'!J96</f>
        <v>69100.000000000015</v>
      </c>
      <c r="X96" s="878">
        <f>'[2]2018. előirányzat'!K96</f>
        <v>345500</v>
      </c>
      <c r="Y96" s="878">
        <f>'[2]2019. előirányzat'!J96</f>
        <v>69100.000000000015</v>
      </c>
      <c r="Z96" s="878">
        <f>'[2]2019. előirányzat'!K96</f>
        <v>345500</v>
      </c>
      <c r="AA96" s="878">
        <f>'[2]2020. előirányzat'!G96</f>
        <v>69100.000000000015</v>
      </c>
      <c r="AB96" s="879">
        <f t="shared" si="10"/>
        <v>276400.00000000006</v>
      </c>
      <c r="AC96" s="879">
        <f t="shared" si="11"/>
        <v>1226525</v>
      </c>
      <c r="AD96" s="879">
        <f t="shared" si="12"/>
        <v>0</v>
      </c>
      <c r="AE96" s="879">
        <f t="shared" si="13"/>
        <v>1502925</v>
      </c>
      <c r="AF96" s="880">
        <f t="shared" si="14"/>
        <v>276400.00000000006</v>
      </c>
      <c r="AG96" s="880">
        <f>AC96</f>
        <v>1226525</v>
      </c>
      <c r="AH96" s="880">
        <f t="shared" si="15"/>
        <v>1502925</v>
      </c>
      <c r="AI96" s="878">
        <f>'[2]2021. előirányzat'!G96</f>
        <v>69100.000000000015</v>
      </c>
      <c r="AJ96" s="878">
        <f>'[2]2022. előirányzat'!G96</f>
        <v>69100.000000000015</v>
      </c>
      <c r="AK96" s="878">
        <f>'[2]2023. előirányzat'!G96</f>
        <v>69100.000000000015</v>
      </c>
      <c r="AL96" s="878">
        <f>'[2]2024. előirányzat'!G96</f>
        <v>0</v>
      </c>
      <c r="AM96" s="881">
        <f t="shared" si="16"/>
        <v>483700.00000000006</v>
      </c>
      <c r="AN96" s="881">
        <f t="shared" si="17"/>
        <v>1226525</v>
      </c>
      <c r="AO96" s="881">
        <f t="shared" si="18"/>
        <v>0</v>
      </c>
      <c r="AP96" s="881">
        <f t="shared" si="19"/>
        <v>1710225</v>
      </c>
      <c r="AQ96" s="882"/>
      <c r="AR96" s="883">
        <f>V96+X96+Z96</f>
        <v>1036500</v>
      </c>
      <c r="AS96" s="884">
        <f>AP96-AR96</f>
        <v>673725</v>
      </c>
      <c r="AT96" s="882"/>
      <c r="AU96" s="882" t="s">
        <v>788</v>
      </c>
      <c r="AY96">
        <f>224575-69100</f>
        <v>155475</v>
      </c>
    </row>
    <row r="97" spans="1:47" ht="30" x14ac:dyDescent="0.25">
      <c r="A97" s="885" t="s">
        <v>579</v>
      </c>
      <c r="B97" s="757" t="str">
        <f>[1]előirányzat!B95</f>
        <v>Peresznye Község Önkormányzata</v>
      </c>
      <c r="C97" s="755">
        <v>676</v>
      </c>
      <c r="D97" s="878">
        <f>'[2]2009. évi előirányzat'!M97</f>
        <v>0</v>
      </c>
      <c r="E97" s="878">
        <f>'[2]2009. évi előirányzat'!N97</f>
        <v>0</v>
      </c>
      <c r="F97" s="878">
        <f>'[2]2009. évi előirányzat'!O97</f>
        <v>0</v>
      </c>
      <c r="G97" s="878">
        <f>'[2]2010. évi előirányzat'!J97</f>
        <v>0</v>
      </c>
      <c r="H97" s="878">
        <f>'[2]2010. évi előirányzat'!K97</f>
        <v>0</v>
      </c>
      <c r="I97" s="878">
        <f>'[2]2011. évi előirányzat'!J97</f>
        <v>0</v>
      </c>
      <c r="J97" s="878">
        <f>'[2]2011. évi előirányzat'!K97</f>
        <v>0</v>
      </c>
      <c r="K97" s="878">
        <f>'[2]2012. évi előirányzat'!J97</f>
        <v>0</v>
      </c>
      <c r="L97" s="878">
        <f>'[2]2012. évi előirányzat'!K97</f>
        <v>0</v>
      </c>
      <c r="M97" s="878">
        <f>'[2]2013. előirányzat'!J97</f>
        <v>0</v>
      </c>
      <c r="N97" s="878">
        <f>'[2]2013. előirányzat'!K97</f>
        <v>0</v>
      </c>
      <c r="O97" s="878">
        <f>'[2]2014. évi előirányzat'!J97</f>
        <v>0</v>
      </c>
      <c r="P97" s="878">
        <f>'[2]2014. évi előirányzat'!K97</f>
        <v>0</v>
      </c>
      <c r="Q97" s="878">
        <f>'[2]2015. évi előirányzat'!J97</f>
        <v>0</v>
      </c>
      <c r="R97" s="878">
        <f>'[2]2015. évi előirányzat'!K97</f>
        <v>0</v>
      </c>
      <c r="S97" s="878">
        <f>'[2]2016 előirányzat'!J97</f>
        <v>0</v>
      </c>
      <c r="T97" s="878">
        <f>'[2]2016 előirányzat'!K97</f>
        <v>0</v>
      </c>
      <c r="U97" s="878">
        <f>'[2]2017. előirányzat'!J97</f>
        <v>0</v>
      </c>
      <c r="V97" s="878">
        <f>'[2]2017. előirányzat'!K97</f>
        <v>0</v>
      </c>
      <c r="W97" s="878">
        <f>'[2]2018. előirányzat'!J97</f>
        <v>0</v>
      </c>
      <c r="X97" s="878">
        <f>'[2]2018. előirányzat'!K97</f>
        <v>0</v>
      </c>
      <c r="Y97" s="878">
        <f>'[2]2019. előirányzat'!J97</f>
        <v>0</v>
      </c>
      <c r="Z97" s="878">
        <f>'[2]2019. előirányzat'!K97</f>
        <v>0</v>
      </c>
      <c r="AA97" s="878">
        <f>'[2]2020. előirányzat'!G97</f>
        <v>0</v>
      </c>
      <c r="AB97" s="879">
        <f t="shared" si="10"/>
        <v>0</v>
      </c>
      <c r="AC97" s="879">
        <f t="shared" si="11"/>
        <v>0</v>
      </c>
      <c r="AD97" s="879">
        <f t="shared" si="12"/>
        <v>0</v>
      </c>
      <c r="AE97" s="879">
        <f t="shared" si="13"/>
        <v>0</v>
      </c>
      <c r="AF97" s="880">
        <f t="shared" si="14"/>
        <v>0</v>
      </c>
      <c r="AG97" s="880">
        <f>AE97</f>
        <v>0</v>
      </c>
      <c r="AH97" s="880">
        <f t="shared" si="15"/>
        <v>0</v>
      </c>
      <c r="AI97" s="878">
        <f>'[2]2021. előirányzat'!G97</f>
        <v>0</v>
      </c>
      <c r="AJ97" s="878">
        <f>'[2]2022. előirányzat'!G97</f>
        <v>0</v>
      </c>
      <c r="AK97" s="878">
        <f>'[2]2023. előirányzat'!G97</f>
        <v>0</v>
      </c>
      <c r="AL97" s="878">
        <f>'[2]2024. előirányzat'!G97</f>
        <v>0</v>
      </c>
      <c r="AM97" s="881">
        <f t="shared" si="16"/>
        <v>0</v>
      </c>
      <c r="AN97" s="881">
        <f t="shared" si="17"/>
        <v>0</v>
      </c>
      <c r="AO97" s="881">
        <f t="shared" si="18"/>
        <v>0</v>
      </c>
      <c r="AP97" s="881">
        <f t="shared" si="19"/>
        <v>0</v>
      </c>
      <c r="AQ97" s="882"/>
      <c r="AR97" s="883"/>
      <c r="AS97" s="884"/>
      <c r="AT97" s="882"/>
      <c r="AU97" s="882" t="s">
        <v>784</v>
      </c>
    </row>
    <row r="98" spans="1:47" ht="45" x14ac:dyDescent="0.25">
      <c r="A98" s="754" t="s">
        <v>580</v>
      </c>
      <c r="B98" s="757" t="str">
        <f>[1]előirányzat!B96</f>
        <v>Pinkamindszent Község Önkormányzata</v>
      </c>
      <c r="C98" s="755">
        <v>160</v>
      </c>
      <c r="D98" s="878">
        <f>'[2]2009. évi előirányzat'!M98</f>
        <v>0</v>
      </c>
      <c r="E98" s="878">
        <f>'[2]2009. évi előirányzat'!N98</f>
        <v>0</v>
      </c>
      <c r="F98" s="878">
        <f>'[2]2009. évi előirányzat'!O98</f>
        <v>0</v>
      </c>
      <c r="G98" s="878">
        <f>'[2]2010. évi előirányzat'!J98</f>
        <v>0</v>
      </c>
      <c r="H98" s="878">
        <f>'[2]2010. évi előirányzat'!K98</f>
        <v>0</v>
      </c>
      <c r="I98" s="878">
        <f>'[2]2011. évi előirányzat'!J98</f>
        <v>0</v>
      </c>
      <c r="J98" s="878">
        <f>'[2]2011. évi előirányzat'!K98</f>
        <v>0</v>
      </c>
      <c r="K98" s="878">
        <f>'[2]2012. évi előirányzat'!J98</f>
        <v>0</v>
      </c>
      <c r="L98" s="878">
        <f>'[2]2012. évi előirányzat'!K98</f>
        <v>0</v>
      </c>
      <c r="M98" s="878">
        <f>'[2]2013. előirányzat'!J98</f>
        <v>0</v>
      </c>
      <c r="N98" s="878">
        <f>'[2]2013. előirányzat'!K98</f>
        <v>0</v>
      </c>
      <c r="O98" s="878">
        <f>'[2]2014. évi előirányzat'!J98</f>
        <v>0</v>
      </c>
      <c r="P98" s="878">
        <f>'[2]2014. évi előirányzat'!K98</f>
        <v>0</v>
      </c>
      <c r="Q98" s="878">
        <f>'[2]2015. évi előirányzat'!J98</f>
        <v>0</v>
      </c>
      <c r="R98" s="878">
        <f>'[2]2015. évi előirányzat'!K98</f>
        <v>0</v>
      </c>
      <c r="S98" s="878">
        <f>'[2]2016 előirányzat'!J98</f>
        <v>0</v>
      </c>
      <c r="T98" s="878">
        <f>'[2]2016 előirányzat'!K98</f>
        <v>0</v>
      </c>
      <c r="U98" s="878">
        <f>'[2]2017. előirányzat'!J98</f>
        <v>0</v>
      </c>
      <c r="V98" s="878">
        <f>'[2]2017. előirányzat'!K98</f>
        <v>-80000</v>
      </c>
      <c r="W98" s="878">
        <f>'[2]2018. előirányzat'!J98</f>
        <v>0</v>
      </c>
      <c r="X98" s="878">
        <f>'[2]2018. előirányzat'!K98</f>
        <v>0</v>
      </c>
      <c r="Y98" s="878">
        <f>'[2]2019. előirányzat'!J98</f>
        <v>0</v>
      </c>
      <c r="Z98" s="878">
        <f>'[2]2019. előirányzat'!K98</f>
        <v>0</v>
      </c>
      <c r="AA98" s="878">
        <f>'[2]2020. előirányzat'!G98</f>
        <v>0</v>
      </c>
      <c r="AB98" s="879">
        <f t="shared" si="10"/>
        <v>0</v>
      </c>
      <c r="AC98" s="879">
        <f t="shared" si="11"/>
        <v>-80000</v>
      </c>
      <c r="AD98" s="879">
        <f t="shared" si="12"/>
        <v>0</v>
      </c>
      <c r="AE98" s="879">
        <f t="shared" si="13"/>
        <v>-80000</v>
      </c>
      <c r="AF98" s="880">
        <f t="shared" si="14"/>
        <v>0</v>
      </c>
      <c r="AG98" s="880">
        <f>AE98+(3*16000)+32000</f>
        <v>0</v>
      </c>
      <c r="AH98" s="880">
        <f t="shared" si="15"/>
        <v>0</v>
      </c>
      <c r="AI98" s="878">
        <f>'[2]2021. előirányzat'!G98</f>
        <v>0</v>
      </c>
      <c r="AJ98" s="878">
        <f>'[2]2022. előirányzat'!G98</f>
        <v>0</v>
      </c>
      <c r="AK98" s="878">
        <f>'[2]2023. előirányzat'!G98</f>
        <v>0</v>
      </c>
      <c r="AL98" s="878">
        <f>'[2]2024. előirányzat'!G98</f>
        <v>0</v>
      </c>
      <c r="AM98" s="881">
        <f t="shared" si="16"/>
        <v>0</v>
      </c>
      <c r="AN98" s="881">
        <f t="shared" si="17"/>
        <v>0</v>
      </c>
      <c r="AO98" s="881">
        <f t="shared" si="18"/>
        <v>0</v>
      </c>
      <c r="AP98" s="881">
        <f t="shared" si="19"/>
        <v>0</v>
      </c>
      <c r="AQ98" s="882"/>
      <c r="AR98" s="883"/>
      <c r="AS98" s="884"/>
      <c r="AT98" s="882"/>
      <c r="AU98" s="882" t="s">
        <v>786</v>
      </c>
    </row>
    <row r="99" spans="1:47" ht="30" x14ac:dyDescent="0.25">
      <c r="A99" s="885" t="s">
        <v>581</v>
      </c>
      <c r="B99" s="757" t="str">
        <f>[1]előirányzat!B97</f>
        <v>Pusztacsó Község Önkormányzata</v>
      </c>
      <c r="C99" s="755">
        <v>162</v>
      </c>
      <c r="D99" s="878">
        <f>'[2]2009. évi előirányzat'!M99</f>
        <v>0</v>
      </c>
      <c r="E99" s="878">
        <f>'[2]2009. évi előirányzat'!N99</f>
        <v>0</v>
      </c>
      <c r="F99" s="878">
        <f>'[2]2009. évi előirányzat'!O99</f>
        <v>0</v>
      </c>
      <c r="G99" s="878">
        <f>'[2]2010. évi előirányzat'!J99</f>
        <v>0</v>
      </c>
      <c r="H99" s="878">
        <f>'[2]2010. évi előirányzat'!K99</f>
        <v>0</v>
      </c>
      <c r="I99" s="878">
        <f>'[2]2011. évi előirányzat'!J99</f>
        <v>0</v>
      </c>
      <c r="J99" s="878">
        <f>'[2]2011. évi előirányzat'!K99</f>
        <v>0</v>
      </c>
      <c r="K99" s="878">
        <f>'[2]2012. évi előirányzat'!J99</f>
        <v>0</v>
      </c>
      <c r="L99" s="878">
        <f>'[2]2012. évi előirányzat'!K99</f>
        <v>0</v>
      </c>
      <c r="M99" s="878">
        <f>'[2]2013. előirányzat'!J99</f>
        <v>0</v>
      </c>
      <c r="N99" s="878">
        <f>'[2]2013. előirányzat'!K99</f>
        <v>0</v>
      </c>
      <c r="O99" s="878">
        <f>'[2]2014. évi előirányzat'!J99</f>
        <v>0</v>
      </c>
      <c r="P99" s="878">
        <f>'[2]2014. évi előirányzat'!K99</f>
        <v>0</v>
      </c>
      <c r="Q99" s="878">
        <f>'[2]2015. évi előirányzat'!J99</f>
        <v>0</v>
      </c>
      <c r="R99" s="878">
        <f>'[2]2015. évi előirányzat'!K99</f>
        <v>0</v>
      </c>
      <c r="S99" s="878">
        <f>'[2]2016 előirányzat'!J99</f>
        <v>0</v>
      </c>
      <c r="T99" s="878">
        <f>'[2]2016 előirányzat'!K99</f>
        <v>0</v>
      </c>
      <c r="U99" s="878">
        <f>'[2]2017. előirányzat'!J99</f>
        <v>0</v>
      </c>
      <c r="V99" s="878">
        <f>'[2]2017. előirányzat'!K99</f>
        <v>0</v>
      </c>
      <c r="W99" s="878">
        <f>'[2]2018. előirányzat'!J99</f>
        <v>0</v>
      </c>
      <c r="X99" s="878">
        <f>'[2]2018. előirányzat'!K99</f>
        <v>0</v>
      </c>
      <c r="Y99" s="878">
        <f>'[2]2019. előirányzat'!J99</f>
        <v>0</v>
      </c>
      <c r="Z99" s="878">
        <f>'[2]2019. előirányzat'!K99</f>
        <v>0</v>
      </c>
      <c r="AA99" s="878">
        <f>'[2]2020. előirányzat'!G99</f>
        <v>0</v>
      </c>
      <c r="AB99" s="879">
        <f t="shared" si="10"/>
        <v>0</v>
      </c>
      <c r="AC99" s="879">
        <f t="shared" si="11"/>
        <v>0</v>
      </c>
      <c r="AD99" s="879">
        <f t="shared" si="12"/>
        <v>0</v>
      </c>
      <c r="AE99" s="879">
        <f t="shared" si="13"/>
        <v>0</v>
      </c>
      <c r="AF99" s="880">
        <f t="shared" si="14"/>
        <v>0</v>
      </c>
      <c r="AG99" s="880">
        <f>AE99</f>
        <v>0</v>
      </c>
      <c r="AH99" s="880">
        <f t="shared" si="15"/>
        <v>0</v>
      </c>
      <c r="AI99" s="878">
        <f>'[2]2021. előirányzat'!G99</f>
        <v>0</v>
      </c>
      <c r="AJ99" s="878">
        <f>'[2]2022. előirányzat'!G99</f>
        <v>0</v>
      </c>
      <c r="AK99" s="878">
        <f>'[2]2023. előirányzat'!G99</f>
        <v>0</v>
      </c>
      <c r="AL99" s="878">
        <f>'[2]2024. előirányzat'!G99</f>
        <v>0</v>
      </c>
      <c r="AM99" s="881">
        <f t="shared" si="16"/>
        <v>0</v>
      </c>
      <c r="AN99" s="881">
        <f t="shared" si="17"/>
        <v>0</v>
      </c>
      <c r="AO99" s="881">
        <f t="shared" si="18"/>
        <v>0</v>
      </c>
      <c r="AP99" s="881">
        <f t="shared" si="19"/>
        <v>0</v>
      </c>
      <c r="AQ99" s="882"/>
      <c r="AR99" s="883"/>
      <c r="AS99" s="884"/>
      <c r="AT99" s="882"/>
      <c r="AU99" s="882" t="s">
        <v>784</v>
      </c>
    </row>
    <row r="100" spans="1:47" ht="45" x14ac:dyDescent="0.25">
      <c r="A100" s="885" t="s">
        <v>582</v>
      </c>
      <c r="B100" s="757" t="str">
        <f>[1]előirányzat!B98</f>
        <v>Püspökmolnári Község Önkormányzata</v>
      </c>
      <c r="C100" s="755">
        <v>982</v>
      </c>
      <c r="D100" s="878">
        <f>'[2]2009. évi előirányzat'!M100</f>
        <v>0</v>
      </c>
      <c r="E100" s="878">
        <f>'[2]2009. évi előirányzat'!N100</f>
        <v>0</v>
      </c>
      <c r="F100" s="878">
        <f>'[2]2009. évi előirányzat'!O100</f>
        <v>0</v>
      </c>
      <c r="G100" s="878">
        <f>'[2]2010. évi előirányzat'!J100</f>
        <v>0</v>
      </c>
      <c r="H100" s="878">
        <f>'[2]2010. évi előirányzat'!K100</f>
        <v>0</v>
      </c>
      <c r="I100" s="878">
        <f>'[2]2011. évi előirányzat'!J100</f>
        <v>0</v>
      </c>
      <c r="J100" s="878">
        <f>'[2]2011. évi előirányzat'!K100</f>
        <v>0</v>
      </c>
      <c r="K100" s="878">
        <f>'[2]2012. évi előirányzat'!J100</f>
        <v>0</v>
      </c>
      <c r="L100" s="878">
        <f>'[2]2012. évi előirányzat'!K100</f>
        <v>0</v>
      </c>
      <c r="M100" s="878">
        <f>'[2]2013. előirányzat'!J100</f>
        <v>0</v>
      </c>
      <c r="N100" s="878">
        <f>'[2]2013. előirányzat'!K100</f>
        <v>0</v>
      </c>
      <c r="O100" s="878">
        <f>'[2]2014. évi előirányzat'!J100</f>
        <v>0</v>
      </c>
      <c r="P100" s="878">
        <f>'[2]2014. évi előirányzat'!K100</f>
        <v>0</v>
      </c>
      <c r="Q100" s="878">
        <f>'[2]2015. évi előirányzat'!J100</f>
        <v>0</v>
      </c>
      <c r="R100" s="878">
        <f>'[2]2015. évi előirányzat'!K100</f>
        <v>0</v>
      </c>
      <c r="S100" s="878">
        <f>'[2]2016 előirányzat'!J100</f>
        <v>0</v>
      </c>
      <c r="T100" s="878">
        <f>'[2]2016 előirányzat'!K100</f>
        <v>0</v>
      </c>
      <c r="U100" s="878">
        <f>'[2]2017. előirányzat'!J100</f>
        <v>0</v>
      </c>
      <c r="V100" s="878">
        <f>'[2]2017. előirányzat'!K100</f>
        <v>-491000</v>
      </c>
      <c r="W100" s="878">
        <f>'[2]2018. előirányzat'!J100</f>
        <v>0</v>
      </c>
      <c r="X100" s="878">
        <f>'[2]2018. előirányzat'!K100</f>
        <v>0</v>
      </c>
      <c r="Y100" s="878">
        <f>'[2]2019. előirányzat'!J100</f>
        <v>0</v>
      </c>
      <c r="Z100" s="878">
        <f>'[2]2019. előirányzat'!K100</f>
        <v>0</v>
      </c>
      <c r="AA100" s="878">
        <f>'[2]2020. előirányzat'!G100</f>
        <v>0</v>
      </c>
      <c r="AB100" s="879">
        <f t="shared" si="10"/>
        <v>0</v>
      </c>
      <c r="AC100" s="879">
        <f t="shared" si="11"/>
        <v>-491000</v>
      </c>
      <c r="AD100" s="879">
        <f t="shared" si="12"/>
        <v>0</v>
      </c>
      <c r="AE100" s="879">
        <f t="shared" si="13"/>
        <v>-491000</v>
      </c>
      <c r="AF100" s="880">
        <f t="shared" si="14"/>
        <v>0</v>
      </c>
      <c r="AG100" s="880">
        <f>AE100+(3*98200)+196400</f>
        <v>0</v>
      </c>
      <c r="AH100" s="880">
        <f t="shared" si="15"/>
        <v>0</v>
      </c>
      <c r="AI100" s="878">
        <f>'[2]2021. előirányzat'!G100</f>
        <v>0</v>
      </c>
      <c r="AJ100" s="878">
        <f>'[2]2022. előirányzat'!G100</f>
        <v>0</v>
      </c>
      <c r="AK100" s="878">
        <f>'[2]2023. előirányzat'!G100</f>
        <v>0</v>
      </c>
      <c r="AL100" s="878">
        <f>'[2]2024. előirányzat'!G100</f>
        <v>0</v>
      </c>
      <c r="AM100" s="881">
        <f t="shared" si="16"/>
        <v>0</v>
      </c>
      <c r="AN100" s="881">
        <f t="shared" si="17"/>
        <v>0</v>
      </c>
      <c r="AO100" s="881">
        <f t="shared" si="18"/>
        <v>0</v>
      </c>
      <c r="AP100" s="881">
        <f t="shared" si="19"/>
        <v>0</v>
      </c>
      <c r="AQ100" s="882"/>
      <c r="AR100" s="883"/>
      <c r="AS100" s="884"/>
      <c r="AT100" s="882"/>
      <c r="AU100" s="882" t="s">
        <v>780</v>
      </c>
    </row>
    <row r="101" spans="1:47" ht="30" x14ac:dyDescent="0.25">
      <c r="A101" s="754" t="s">
        <v>583</v>
      </c>
      <c r="B101" s="755" t="str">
        <f>[1]előirányzat!B99</f>
        <v>Rábahídvég Község Önkormányzata</v>
      </c>
      <c r="C101" s="755">
        <v>1009</v>
      </c>
      <c r="D101" s="878">
        <f>'[2]2009. évi előirányzat'!M101</f>
        <v>0</v>
      </c>
      <c r="E101" s="878">
        <f>'[2]2009. évi előirányzat'!N101</f>
        <v>0</v>
      </c>
      <c r="F101" s="878">
        <f>'[2]2009. évi előirányzat'!O101</f>
        <v>0</v>
      </c>
      <c r="G101" s="878">
        <f>'[2]2010. évi előirányzat'!J101</f>
        <v>0</v>
      </c>
      <c r="H101" s="878">
        <f>'[2]2010. évi előirányzat'!K101</f>
        <v>0</v>
      </c>
      <c r="I101" s="878">
        <f>'[2]2011. évi előirányzat'!J101</f>
        <v>0</v>
      </c>
      <c r="J101" s="878">
        <f>'[2]2011. évi előirányzat'!K101</f>
        <v>0</v>
      </c>
      <c r="K101" s="878">
        <f>'[2]2012. évi előirányzat'!J101</f>
        <v>0</v>
      </c>
      <c r="L101" s="878">
        <f>'[2]2012. évi előirányzat'!K101</f>
        <v>0</v>
      </c>
      <c r="M101" s="878">
        <f>'[2]2013. előirányzat'!J101</f>
        <v>0</v>
      </c>
      <c r="N101" s="878">
        <f>'[2]2013. előirányzat'!K101</f>
        <v>0</v>
      </c>
      <c r="O101" s="878">
        <f>'[2]2014. évi előirányzat'!J101</f>
        <v>0</v>
      </c>
      <c r="P101" s="878">
        <f>'[2]2014. évi előirányzat'!K101</f>
        <v>0</v>
      </c>
      <c r="Q101" s="878">
        <f>'[2]2015. évi előirányzat'!J101</f>
        <v>0</v>
      </c>
      <c r="R101" s="878">
        <f>'[2]2015. évi előirányzat'!K101</f>
        <v>221980</v>
      </c>
      <c r="S101" s="878">
        <f>'[2]2016 előirányzat'!J101</f>
        <v>100900</v>
      </c>
      <c r="T101" s="878">
        <f>'[2]2016 előirányzat'!K101</f>
        <v>504500</v>
      </c>
      <c r="U101" s="878">
        <f>'[2]2017. előirányzat'!J101</f>
        <v>100900</v>
      </c>
      <c r="V101" s="878">
        <f>'[2]2017. előirányzat'!K101</f>
        <v>504500</v>
      </c>
      <c r="W101" s="878">
        <f>'[2]2018. előirányzat'!J101</f>
        <v>100900</v>
      </c>
      <c r="X101" s="878">
        <f>'[2]2018. előirányzat'!K101</f>
        <v>504500</v>
      </c>
      <c r="Y101" s="878">
        <f>'[2]2019. előirányzat'!J101</f>
        <v>100900</v>
      </c>
      <c r="Z101" s="878">
        <f>'[2]2019. előirányzat'!K101</f>
        <v>504500</v>
      </c>
      <c r="AA101" s="878">
        <f>'[2]2020. előirányzat'!G101</f>
        <v>100900</v>
      </c>
      <c r="AB101" s="879">
        <f t="shared" si="10"/>
        <v>504500</v>
      </c>
      <c r="AC101" s="879">
        <f t="shared" si="11"/>
        <v>2239980</v>
      </c>
      <c r="AD101" s="879">
        <f t="shared" si="12"/>
        <v>0</v>
      </c>
      <c r="AE101" s="879">
        <f t="shared" si="13"/>
        <v>2744480</v>
      </c>
      <c r="AF101" s="880">
        <f t="shared" si="14"/>
        <v>504500</v>
      </c>
      <c r="AG101" s="880">
        <f>AC101</f>
        <v>2239980</v>
      </c>
      <c r="AH101" s="880">
        <f t="shared" si="15"/>
        <v>2744480</v>
      </c>
      <c r="AI101" s="878">
        <f>'[2]2021. előirányzat'!G101</f>
        <v>100900</v>
      </c>
      <c r="AJ101" s="878">
        <f>'[2]2022. előirányzat'!G101</f>
        <v>100900</v>
      </c>
      <c r="AK101" s="878">
        <f>'[2]2023. előirányzat'!G101</f>
        <v>100900</v>
      </c>
      <c r="AL101" s="878">
        <f>'[2]2024. előirányzat'!G101</f>
        <v>0</v>
      </c>
      <c r="AM101" s="881">
        <f t="shared" si="16"/>
        <v>807200</v>
      </c>
      <c r="AN101" s="881">
        <f t="shared" si="17"/>
        <v>2239980</v>
      </c>
      <c r="AO101" s="881">
        <f t="shared" si="18"/>
        <v>0</v>
      </c>
      <c r="AP101" s="881">
        <f t="shared" si="19"/>
        <v>3047180</v>
      </c>
      <c r="AQ101" s="882"/>
      <c r="AR101" s="883">
        <f>V101+X101+Z101</f>
        <v>1513500</v>
      </c>
      <c r="AS101" s="884">
        <f>AP101-AR101</f>
        <v>1533680</v>
      </c>
      <c r="AT101" s="882"/>
      <c r="AU101" s="882" t="s">
        <v>780</v>
      </c>
    </row>
    <row r="102" spans="1:47" ht="30" x14ac:dyDescent="0.25">
      <c r="A102" s="885" t="s">
        <v>584</v>
      </c>
      <c r="B102" s="757" t="str">
        <f>[1]előirányzat!B100</f>
        <v>Rábatöttös Község Önkormányzata</v>
      </c>
      <c r="C102" s="755">
        <v>221</v>
      </c>
      <c r="D102" s="878">
        <f>'[2]2009. évi előirányzat'!M102</f>
        <v>0</v>
      </c>
      <c r="E102" s="878">
        <f>'[2]2009. évi előirányzat'!N102</f>
        <v>0</v>
      </c>
      <c r="F102" s="878">
        <f>'[2]2009. évi előirányzat'!O102</f>
        <v>0</v>
      </c>
      <c r="G102" s="878">
        <f>'[2]2010. évi előirányzat'!J102</f>
        <v>0</v>
      </c>
      <c r="H102" s="878">
        <f>'[2]2010. évi előirányzat'!K102</f>
        <v>0</v>
      </c>
      <c r="I102" s="878">
        <f>'[2]2011. évi előirányzat'!J102</f>
        <v>0</v>
      </c>
      <c r="J102" s="878">
        <f>'[2]2011. évi előirányzat'!K102</f>
        <v>0</v>
      </c>
      <c r="K102" s="878">
        <f>'[2]2012. évi előirányzat'!J102</f>
        <v>0</v>
      </c>
      <c r="L102" s="878">
        <f>'[2]2012. évi előirányzat'!K102</f>
        <v>0</v>
      </c>
      <c r="M102" s="878">
        <f>'[2]2013. előirányzat'!J102</f>
        <v>0</v>
      </c>
      <c r="N102" s="878">
        <f>'[2]2013. előirányzat'!K102</f>
        <v>0</v>
      </c>
      <c r="O102" s="878">
        <f>'[2]2014. évi előirányzat'!J102</f>
        <v>0</v>
      </c>
      <c r="P102" s="878">
        <f>'[2]2014. évi előirányzat'!K102</f>
        <v>0</v>
      </c>
      <c r="Q102" s="878">
        <f>'[2]2015. évi előirányzat'!J102</f>
        <v>0</v>
      </c>
      <c r="R102" s="878">
        <f>'[2]2015. évi előirányzat'!K102</f>
        <v>0</v>
      </c>
      <c r="S102" s="878">
        <f>'[2]2016 előirányzat'!J102</f>
        <v>0</v>
      </c>
      <c r="T102" s="878">
        <f>'[2]2016 előirányzat'!K102</f>
        <v>0</v>
      </c>
      <c r="U102" s="878">
        <f>'[2]2017. előirányzat'!J102</f>
        <v>0</v>
      </c>
      <c r="V102" s="878">
        <f>'[2]2017. előirányzat'!K102</f>
        <v>-110500</v>
      </c>
      <c r="W102" s="878">
        <f>'[2]2018. előirányzat'!J102</f>
        <v>0</v>
      </c>
      <c r="X102" s="878">
        <f>'[2]2018. előirányzat'!K102</f>
        <v>-110500</v>
      </c>
      <c r="Y102" s="878">
        <f>'[2]2019. előirányzat'!J102</f>
        <v>0</v>
      </c>
      <c r="Z102" s="878">
        <f>'[2]2019. előirányzat'!K102</f>
        <v>0</v>
      </c>
      <c r="AA102" s="878">
        <f>'[2]2020. előirányzat'!G102</f>
        <v>0</v>
      </c>
      <c r="AB102" s="879">
        <f t="shared" si="10"/>
        <v>0</v>
      </c>
      <c r="AC102" s="879">
        <f t="shared" si="11"/>
        <v>-221000</v>
      </c>
      <c r="AD102" s="879">
        <f t="shared" si="12"/>
        <v>0</v>
      </c>
      <c r="AE102" s="879">
        <f t="shared" si="13"/>
        <v>-221000</v>
      </c>
      <c r="AF102" s="880">
        <f t="shared" si="14"/>
        <v>0</v>
      </c>
      <c r="AG102" s="880">
        <f>AC102+(2*22100)+176800</f>
        <v>0</v>
      </c>
      <c r="AH102" s="880">
        <f t="shared" si="15"/>
        <v>0</v>
      </c>
      <c r="AI102" s="878">
        <f>'[2]2021. előirányzat'!G102</f>
        <v>0</v>
      </c>
      <c r="AJ102" s="878">
        <f>'[2]2022. előirányzat'!G102</f>
        <v>0</v>
      </c>
      <c r="AK102" s="878">
        <f>'[2]2023. előirányzat'!G102</f>
        <v>0</v>
      </c>
      <c r="AL102" s="878">
        <f>'[2]2024. előirányzat'!G102</f>
        <v>0</v>
      </c>
      <c r="AM102" s="881">
        <f t="shared" si="16"/>
        <v>0</v>
      </c>
      <c r="AN102" s="881">
        <f t="shared" si="17"/>
        <v>0</v>
      </c>
      <c r="AO102" s="881">
        <f t="shared" si="18"/>
        <v>0</v>
      </c>
      <c r="AP102" s="881">
        <f t="shared" si="19"/>
        <v>0</v>
      </c>
      <c r="AQ102" s="882"/>
      <c r="AR102" s="883"/>
      <c r="AS102" s="884"/>
      <c r="AT102" s="882"/>
      <c r="AU102" s="882" t="s">
        <v>788</v>
      </c>
    </row>
    <row r="103" spans="1:47" ht="30" x14ac:dyDescent="0.25">
      <c r="A103" s="885" t="s">
        <v>585</v>
      </c>
      <c r="B103" s="757" t="str">
        <f>[1]előirányzat!B101</f>
        <v>Rátót Község Önkormányzata</v>
      </c>
      <c r="C103" s="755">
        <v>244</v>
      </c>
      <c r="D103" s="878">
        <f>'[2]2009. évi előirányzat'!M103</f>
        <v>0</v>
      </c>
      <c r="E103" s="878">
        <f>'[2]2009. évi előirányzat'!N103</f>
        <v>0</v>
      </c>
      <c r="F103" s="878">
        <f>'[2]2009. évi előirányzat'!O103</f>
        <v>0</v>
      </c>
      <c r="G103" s="878">
        <f>'[2]2010. évi előirányzat'!J103</f>
        <v>0</v>
      </c>
      <c r="H103" s="878">
        <f>'[2]2010. évi előirányzat'!K103</f>
        <v>0</v>
      </c>
      <c r="I103" s="878">
        <f>'[2]2011. évi előirányzat'!J103</f>
        <v>0</v>
      </c>
      <c r="J103" s="878">
        <f>'[2]2011. évi előirányzat'!K103</f>
        <v>0</v>
      </c>
      <c r="K103" s="878">
        <f>'[2]2012. évi előirányzat'!J103</f>
        <v>0</v>
      </c>
      <c r="L103" s="878">
        <f>'[2]2012. évi előirányzat'!K103</f>
        <v>0</v>
      </c>
      <c r="M103" s="878">
        <f>'[2]2013. előirányzat'!J103</f>
        <v>0</v>
      </c>
      <c r="N103" s="878">
        <f>'[2]2013. előirányzat'!K103</f>
        <v>0</v>
      </c>
      <c r="O103" s="878">
        <f>'[2]2014. évi előirányzat'!J103</f>
        <v>0</v>
      </c>
      <c r="P103" s="878">
        <f>'[2]2014. évi előirányzat'!K103</f>
        <v>0</v>
      </c>
      <c r="Q103" s="878">
        <f>'[2]2015. évi előirányzat'!J103</f>
        <v>0</v>
      </c>
      <c r="R103" s="878">
        <f>'[2]2015. évi előirányzat'!K103</f>
        <v>0</v>
      </c>
      <c r="S103" s="878">
        <f>'[2]2016 előirányzat'!J103</f>
        <v>0</v>
      </c>
      <c r="T103" s="878">
        <f>'[2]2016 előirányzat'!K103</f>
        <v>0</v>
      </c>
      <c r="U103" s="878">
        <f>'[2]2017. előirányzat'!J103</f>
        <v>0</v>
      </c>
      <c r="V103" s="878">
        <f>'[2]2017. előirányzat'!K103</f>
        <v>0</v>
      </c>
      <c r="W103" s="878">
        <f>'[2]2018. előirányzat'!J103</f>
        <v>0</v>
      </c>
      <c r="X103" s="878">
        <f>'[2]2018. előirányzat'!K103</f>
        <v>0</v>
      </c>
      <c r="Y103" s="878">
        <f>'[2]2019. előirányzat'!J103</f>
        <v>0</v>
      </c>
      <c r="Z103" s="878">
        <f>'[2]2019. előirányzat'!K103</f>
        <v>0</v>
      </c>
      <c r="AA103" s="878">
        <f>'[2]2020. előirányzat'!G103</f>
        <v>0</v>
      </c>
      <c r="AB103" s="879">
        <f t="shared" si="10"/>
        <v>0</v>
      </c>
      <c r="AC103" s="879">
        <f t="shared" si="11"/>
        <v>0</v>
      </c>
      <c r="AD103" s="879">
        <f t="shared" si="12"/>
        <v>0</v>
      </c>
      <c r="AE103" s="879">
        <f t="shared" si="13"/>
        <v>0</v>
      </c>
      <c r="AF103" s="880">
        <f t="shared" si="14"/>
        <v>0</v>
      </c>
      <c r="AG103" s="880">
        <f>AE103</f>
        <v>0</v>
      </c>
      <c r="AH103" s="880">
        <f t="shared" si="15"/>
        <v>0</v>
      </c>
      <c r="AI103" s="878">
        <f>'[2]2021. előirányzat'!G103</f>
        <v>0</v>
      </c>
      <c r="AJ103" s="878">
        <f>'[2]2022. előirányzat'!G103</f>
        <v>0</v>
      </c>
      <c r="AK103" s="878">
        <f>'[2]2023. előirányzat'!G103</f>
        <v>0</v>
      </c>
      <c r="AL103" s="878">
        <f>'[2]2024. előirányzat'!G103</f>
        <v>0</v>
      </c>
      <c r="AM103" s="881">
        <f t="shared" si="16"/>
        <v>0</v>
      </c>
      <c r="AN103" s="881">
        <f t="shared" si="17"/>
        <v>0</v>
      </c>
      <c r="AO103" s="881">
        <f t="shared" si="18"/>
        <v>0</v>
      </c>
      <c r="AP103" s="881">
        <f t="shared" si="19"/>
        <v>0</v>
      </c>
      <c r="AQ103" s="882"/>
      <c r="AR103" s="883"/>
      <c r="AS103" s="884"/>
      <c r="AT103" s="882"/>
      <c r="AU103" s="882" t="s">
        <v>787</v>
      </c>
    </row>
    <row r="104" spans="1:47" ht="30" x14ac:dyDescent="0.25">
      <c r="A104" s="754" t="s">
        <v>586</v>
      </c>
      <c r="B104" s="757" t="str">
        <f>[1]előirányzat!B102</f>
        <v>Répcelak Város Önkormányzata</v>
      </c>
      <c r="C104" s="755">
        <v>2506</v>
      </c>
      <c r="D104" s="878">
        <f>'[2]2009. évi előirányzat'!M104</f>
        <v>0</v>
      </c>
      <c r="E104" s="878">
        <f>'[2]2009. évi előirányzat'!N104</f>
        <v>0</v>
      </c>
      <c r="F104" s="878">
        <f>'[2]2009. évi előirányzat'!O104</f>
        <v>0</v>
      </c>
      <c r="G104" s="878">
        <f>'[2]2010. évi előirányzat'!J104</f>
        <v>0</v>
      </c>
      <c r="H104" s="878">
        <f>'[2]2010. évi előirányzat'!K104</f>
        <v>0</v>
      </c>
      <c r="I104" s="878">
        <f>'[2]2011. évi előirányzat'!J104</f>
        <v>0</v>
      </c>
      <c r="J104" s="878">
        <f>'[2]2011. évi előirányzat'!K104</f>
        <v>0</v>
      </c>
      <c r="K104" s="878">
        <f>'[2]2012. évi előirányzat'!J104</f>
        <v>0</v>
      </c>
      <c r="L104" s="878">
        <f>'[2]2012. évi előirányzat'!K104</f>
        <v>0</v>
      </c>
      <c r="M104" s="878">
        <f>'[2]2013. előirányzat'!J104</f>
        <v>0</v>
      </c>
      <c r="N104" s="878">
        <f>'[2]2013. előirányzat'!K104</f>
        <v>0</v>
      </c>
      <c r="O104" s="878">
        <f>'[2]2014. évi előirányzat'!J104</f>
        <v>0</v>
      </c>
      <c r="P104" s="878">
        <f>'[2]2014. évi előirányzat'!K104</f>
        <v>0</v>
      </c>
      <c r="Q104" s="878">
        <f>'[2]2015. évi előirányzat'!J104</f>
        <v>0</v>
      </c>
      <c r="R104" s="878">
        <f>'[2]2015. évi előirányzat'!K104</f>
        <v>0</v>
      </c>
      <c r="S104" s="878">
        <f>'[2]2016 előirányzat'!J104</f>
        <v>0</v>
      </c>
      <c r="T104" s="878">
        <f>'[2]2016 előirányzat'!K104</f>
        <v>0</v>
      </c>
      <c r="U104" s="878">
        <f>'[2]2017. előirányzat'!J104</f>
        <v>0</v>
      </c>
      <c r="V104" s="878">
        <f>'[2]2017. előirányzat'!K104</f>
        <v>-1253000</v>
      </c>
      <c r="W104" s="878">
        <f>'[2]2018. előirányzat'!J104</f>
        <v>0</v>
      </c>
      <c r="X104" s="878">
        <f>'[2]2018. előirányzat'!K104</f>
        <v>0</v>
      </c>
      <c r="Y104" s="878">
        <f>'[2]2019. előirányzat'!J104</f>
        <v>0</v>
      </c>
      <c r="Z104" s="878">
        <f>'[2]2019. előirányzat'!K104</f>
        <v>0</v>
      </c>
      <c r="AA104" s="878">
        <f>'[2]2020. előirányzat'!G104</f>
        <v>0</v>
      </c>
      <c r="AB104" s="879">
        <f t="shared" si="10"/>
        <v>0</v>
      </c>
      <c r="AC104" s="879">
        <f t="shared" si="11"/>
        <v>-1253000</v>
      </c>
      <c r="AD104" s="879">
        <f t="shared" si="12"/>
        <v>0</v>
      </c>
      <c r="AE104" s="879">
        <f t="shared" si="13"/>
        <v>-1253000</v>
      </c>
      <c r="AF104" s="880">
        <f t="shared" si="14"/>
        <v>0</v>
      </c>
      <c r="AG104" s="880">
        <f>AE104+1253000</f>
        <v>0</v>
      </c>
      <c r="AH104" s="880">
        <f t="shared" si="15"/>
        <v>0</v>
      </c>
      <c r="AI104" s="878">
        <f>'[2]2021. előirányzat'!G104</f>
        <v>0</v>
      </c>
      <c r="AJ104" s="878">
        <f>'[2]2022. előirányzat'!G104</f>
        <v>0</v>
      </c>
      <c r="AK104" s="878">
        <f>'[2]2023. előirányzat'!G104</f>
        <v>0</v>
      </c>
      <c r="AL104" s="878">
        <f>'[2]2024. előirányzat'!G104</f>
        <v>0</v>
      </c>
      <c r="AM104" s="881">
        <f t="shared" si="16"/>
        <v>0</v>
      </c>
      <c r="AN104" s="881">
        <f t="shared" si="17"/>
        <v>0</v>
      </c>
      <c r="AO104" s="881">
        <f t="shared" si="18"/>
        <v>0</v>
      </c>
      <c r="AP104" s="881">
        <f t="shared" si="19"/>
        <v>0</v>
      </c>
      <c r="AQ104" s="882"/>
      <c r="AR104" s="883"/>
      <c r="AS104" s="884"/>
      <c r="AT104" s="882"/>
      <c r="AU104" s="882" t="s">
        <v>783</v>
      </c>
    </row>
    <row r="105" spans="1:47" ht="30" x14ac:dyDescent="0.25">
      <c r="A105" s="885" t="s">
        <v>587</v>
      </c>
      <c r="B105" s="757" t="str">
        <f>[1]előirányzat!B103</f>
        <v>Rum Község Önkormányzata</v>
      </c>
      <c r="C105" s="755">
        <v>1270</v>
      </c>
      <c r="D105" s="878">
        <f>'[2]2009. évi előirányzat'!M105</f>
        <v>0</v>
      </c>
      <c r="E105" s="878">
        <f>'[2]2009. évi előirányzat'!N105</f>
        <v>0</v>
      </c>
      <c r="F105" s="878">
        <f>'[2]2009. évi előirányzat'!O105</f>
        <v>0</v>
      </c>
      <c r="G105" s="878">
        <f>'[2]2010. évi előirányzat'!J105</f>
        <v>0</v>
      </c>
      <c r="H105" s="878">
        <f>'[2]2010. évi előirányzat'!K105</f>
        <v>0</v>
      </c>
      <c r="I105" s="878">
        <f>'[2]2011. évi előirányzat'!J105</f>
        <v>0</v>
      </c>
      <c r="J105" s="878">
        <f>'[2]2011. évi előirányzat'!K105</f>
        <v>0</v>
      </c>
      <c r="K105" s="878">
        <f>'[2]2012. évi előirányzat'!J105</f>
        <v>0</v>
      </c>
      <c r="L105" s="878">
        <f>'[2]2012. évi előirányzat'!K105</f>
        <v>0</v>
      </c>
      <c r="M105" s="878">
        <f>'[2]2013. előirányzat'!J105</f>
        <v>0</v>
      </c>
      <c r="N105" s="878">
        <f>'[2]2013. előirányzat'!K105</f>
        <v>0</v>
      </c>
      <c r="O105" s="878">
        <f>'[2]2014. évi előirányzat'!J105</f>
        <v>0</v>
      </c>
      <c r="P105" s="878">
        <f>'[2]2014. évi előirányzat'!K105</f>
        <v>0</v>
      </c>
      <c r="Q105" s="878">
        <f>'[2]2015. évi előirányzat'!J105</f>
        <v>0</v>
      </c>
      <c r="R105" s="878">
        <f>'[2]2015. évi előirányzat'!K105</f>
        <v>0</v>
      </c>
      <c r="S105" s="878">
        <f>'[2]2016 előirányzat'!J105</f>
        <v>0</v>
      </c>
      <c r="T105" s="878">
        <f>'[2]2016 előirányzat'!K105</f>
        <v>0</v>
      </c>
      <c r="U105" s="878">
        <f>'[2]2017. előirányzat'!J105</f>
        <v>0</v>
      </c>
      <c r="V105" s="878">
        <f>'[2]2017. előirányzat'!K105</f>
        <v>-635000</v>
      </c>
      <c r="W105" s="878">
        <f>'[2]2018. előirányzat'!J105</f>
        <v>0</v>
      </c>
      <c r="X105" s="878">
        <f>'[2]2018. előirányzat'!K105</f>
        <v>-253000</v>
      </c>
      <c r="Y105" s="878">
        <f>'[2]2019. előirányzat'!J105</f>
        <v>0</v>
      </c>
      <c r="Z105" s="878">
        <f>'[2]2019. előirányzat'!K105</f>
        <v>0</v>
      </c>
      <c r="AA105" s="878">
        <f>'[2]2020. előirányzat'!G105</f>
        <v>0</v>
      </c>
      <c r="AB105" s="879">
        <f t="shared" si="10"/>
        <v>0</v>
      </c>
      <c r="AC105" s="879">
        <f t="shared" si="11"/>
        <v>-888000</v>
      </c>
      <c r="AD105" s="879">
        <f t="shared" si="12"/>
        <v>0</v>
      </c>
      <c r="AE105" s="879">
        <f t="shared" si="13"/>
        <v>-888000</v>
      </c>
      <c r="AF105" s="880">
        <f t="shared" si="14"/>
        <v>0</v>
      </c>
      <c r="AG105" s="880">
        <f>AE105+(2*127000)+634000</f>
        <v>0</v>
      </c>
      <c r="AH105" s="880">
        <f t="shared" si="15"/>
        <v>0</v>
      </c>
      <c r="AI105" s="878">
        <f>'[2]2021. előirányzat'!G105</f>
        <v>0</v>
      </c>
      <c r="AJ105" s="878">
        <f>'[2]2022. előirányzat'!G105</f>
        <v>0</v>
      </c>
      <c r="AK105" s="878">
        <f>'[2]2023. előirányzat'!G105</f>
        <v>0</v>
      </c>
      <c r="AL105" s="878">
        <f>'[2]2024. előirányzat'!G105</f>
        <v>0</v>
      </c>
      <c r="AM105" s="881">
        <f t="shared" si="16"/>
        <v>0</v>
      </c>
      <c r="AN105" s="881">
        <f t="shared" si="17"/>
        <v>0</v>
      </c>
      <c r="AO105" s="881">
        <f t="shared" si="18"/>
        <v>0</v>
      </c>
      <c r="AP105" s="881">
        <f t="shared" si="19"/>
        <v>0</v>
      </c>
      <c r="AQ105" s="882"/>
      <c r="AR105" s="883"/>
      <c r="AS105" s="884"/>
      <c r="AT105" s="882"/>
      <c r="AU105" s="882" t="s">
        <v>788</v>
      </c>
    </row>
    <row r="106" spans="1:47" ht="30" x14ac:dyDescent="0.25">
      <c r="A106" s="885" t="s">
        <v>588</v>
      </c>
      <c r="B106" s="757" t="str">
        <f>[1]előirányzat!B104</f>
        <v>Sajtoskál Község Önkormányzata</v>
      </c>
      <c r="C106" s="755">
        <v>425</v>
      </c>
      <c r="D106" s="878">
        <f>'[2]2009. évi előirányzat'!M106</f>
        <v>0</v>
      </c>
      <c r="E106" s="878">
        <f>'[2]2009. évi előirányzat'!N106</f>
        <v>0</v>
      </c>
      <c r="F106" s="878">
        <f>'[2]2009. évi előirányzat'!O106</f>
        <v>0</v>
      </c>
      <c r="G106" s="878">
        <f>'[2]2010. évi előirányzat'!J106</f>
        <v>0</v>
      </c>
      <c r="H106" s="878">
        <f>'[2]2010. évi előirányzat'!K106</f>
        <v>0</v>
      </c>
      <c r="I106" s="878">
        <f>'[2]2011. évi előirányzat'!J106</f>
        <v>0</v>
      </c>
      <c r="J106" s="878">
        <f>'[2]2011. évi előirányzat'!K106</f>
        <v>0</v>
      </c>
      <c r="K106" s="878">
        <f>'[2]2012. évi előirányzat'!J106</f>
        <v>0</v>
      </c>
      <c r="L106" s="878">
        <f>'[2]2012. évi előirányzat'!K106</f>
        <v>0</v>
      </c>
      <c r="M106" s="878">
        <f>'[2]2013. előirányzat'!J106</f>
        <v>0</v>
      </c>
      <c r="N106" s="878">
        <f>'[2]2013. előirányzat'!K106</f>
        <v>0</v>
      </c>
      <c r="O106" s="878">
        <f>'[2]2014. évi előirányzat'!J106</f>
        <v>0</v>
      </c>
      <c r="P106" s="878">
        <f>'[2]2014. évi előirányzat'!K106</f>
        <v>0</v>
      </c>
      <c r="Q106" s="878">
        <f>'[2]2015. évi előirányzat'!J106</f>
        <v>0</v>
      </c>
      <c r="R106" s="878">
        <f>'[2]2015. évi előirányzat'!K106</f>
        <v>0</v>
      </c>
      <c r="S106" s="878">
        <f>'[2]2016 előirányzat'!J106</f>
        <v>0</v>
      </c>
      <c r="T106" s="878">
        <f>'[2]2016 előirányzat'!K106</f>
        <v>0</v>
      </c>
      <c r="U106" s="878">
        <f>'[2]2017. előirányzat'!J106</f>
        <v>0</v>
      </c>
      <c r="V106" s="878">
        <f>'[2]2017. előirányzat'!K106</f>
        <v>-212500</v>
      </c>
      <c r="W106" s="878">
        <f>'[2]2018. előirányzat'!J106</f>
        <v>0</v>
      </c>
      <c r="X106" s="878">
        <f>'[2]2018. előirányzat'!K106</f>
        <v>-212500</v>
      </c>
      <c r="Y106" s="878">
        <f>'[2]2019. előirányzat'!J106</f>
        <v>0</v>
      </c>
      <c r="Z106" s="878">
        <f>'[2]2019. előirányzat'!K106</f>
        <v>0</v>
      </c>
      <c r="AA106" s="878">
        <f>'[2]2020. előirányzat'!G106</f>
        <v>0</v>
      </c>
      <c r="AB106" s="879">
        <f t="shared" si="10"/>
        <v>0</v>
      </c>
      <c r="AC106" s="879">
        <f t="shared" si="11"/>
        <v>-425000</v>
      </c>
      <c r="AD106" s="879">
        <f t="shared" si="12"/>
        <v>0</v>
      </c>
      <c r="AE106" s="879">
        <f t="shared" si="13"/>
        <v>-425000</v>
      </c>
      <c r="AF106" s="880">
        <f t="shared" si="14"/>
        <v>0</v>
      </c>
      <c r="AG106" s="880">
        <f>AE106+42500+382500</f>
        <v>0</v>
      </c>
      <c r="AH106" s="880">
        <f t="shared" si="15"/>
        <v>0</v>
      </c>
      <c r="AI106" s="878">
        <f>'[2]2021. előirányzat'!G106</f>
        <v>0</v>
      </c>
      <c r="AJ106" s="878">
        <f>'[2]2022. előirányzat'!G106</f>
        <v>0</v>
      </c>
      <c r="AK106" s="878">
        <f>'[2]2023. előirányzat'!G106</f>
        <v>0</v>
      </c>
      <c r="AL106" s="878">
        <f>'[2]2024. előirányzat'!G106</f>
        <v>0</v>
      </c>
      <c r="AM106" s="881">
        <f t="shared" si="16"/>
        <v>0</v>
      </c>
      <c r="AN106" s="881">
        <f t="shared" si="17"/>
        <v>0</v>
      </c>
      <c r="AO106" s="881">
        <f t="shared" si="18"/>
        <v>0</v>
      </c>
      <c r="AP106" s="881">
        <f t="shared" si="19"/>
        <v>0</v>
      </c>
      <c r="AQ106" s="882"/>
      <c r="AR106" s="883"/>
      <c r="AS106" s="884"/>
      <c r="AT106" s="882"/>
      <c r="AU106" s="882" t="s">
        <v>785</v>
      </c>
    </row>
    <row r="107" spans="1:47" ht="30" x14ac:dyDescent="0.25">
      <c r="A107" s="754" t="s">
        <v>589</v>
      </c>
      <c r="B107" s="757" t="str">
        <f>[1]előirányzat!B105</f>
        <v>Salköveskút Község Önkormányzata</v>
      </c>
      <c r="C107" s="755">
        <v>490</v>
      </c>
      <c r="D107" s="878">
        <f>'[2]2009. évi előirányzat'!M107</f>
        <v>0</v>
      </c>
      <c r="E107" s="878">
        <f>'[2]2009. évi előirányzat'!N107</f>
        <v>0</v>
      </c>
      <c r="F107" s="878">
        <f>'[2]2009. évi előirányzat'!O107</f>
        <v>0</v>
      </c>
      <c r="G107" s="878">
        <f>'[2]2010. évi előirányzat'!J107</f>
        <v>0</v>
      </c>
      <c r="H107" s="878">
        <f>'[2]2010. évi előirányzat'!K107</f>
        <v>0</v>
      </c>
      <c r="I107" s="878">
        <f>'[2]2011. évi előirányzat'!J107</f>
        <v>0</v>
      </c>
      <c r="J107" s="878">
        <f>'[2]2011. évi előirányzat'!K107</f>
        <v>0</v>
      </c>
      <c r="K107" s="878">
        <f>'[2]2012. évi előirányzat'!J107</f>
        <v>0</v>
      </c>
      <c r="L107" s="878">
        <f>'[2]2012. évi előirányzat'!K107</f>
        <v>0</v>
      </c>
      <c r="M107" s="878">
        <f>'[2]2013. előirányzat'!J107</f>
        <v>0</v>
      </c>
      <c r="N107" s="878">
        <f>'[2]2013. előirányzat'!K107</f>
        <v>0</v>
      </c>
      <c r="O107" s="878">
        <f>'[2]2014. évi előirányzat'!J107</f>
        <v>0</v>
      </c>
      <c r="P107" s="878">
        <f>'[2]2014. évi előirányzat'!K107</f>
        <v>0</v>
      </c>
      <c r="Q107" s="878">
        <f>'[2]2015. évi előirányzat'!J107</f>
        <v>0</v>
      </c>
      <c r="R107" s="878">
        <f>'[2]2015. évi előirányzat'!K107</f>
        <v>0</v>
      </c>
      <c r="S107" s="878">
        <f>'[2]2016 előirányzat'!J107</f>
        <v>0</v>
      </c>
      <c r="T107" s="878">
        <f>'[2]2016 előirányzat'!K107</f>
        <v>0</v>
      </c>
      <c r="U107" s="878">
        <f>'[2]2017. előirányzat'!J107</f>
        <v>0</v>
      </c>
      <c r="V107" s="878">
        <f>'[2]2017. előirányzat'!K107</f>
        <v>-245000</v>
      </c>
      <c r="W107" s="878">
        <f>'[2]2018. előirányzat'!J107</f>
        <v>0</v>
      </c>
      <c r="X107" s="878">
        <f>'[2]2018. előirányzat'!K107</f>
        <v>0</v>
      </c>
      <c r="Y107" s="878">
        <f>'[2]2019. előirányzat'!J107</f>
        <v>0</v>
      </c>
      <c r="Z107" s="878">
        <f>'[2]2019. előirányzat'!K107</f>
        <v>0</v>
      </c>
      <c r="AA107" s="878">
        <f>'[2]2020. előirányzat'!G107</f>
        <v>0</v>
      </c>
      <c r="AB107" s="879">
        <f t="shared" si="10"/>
        <v>0</v>
      </c>
      <c r="AC107" s="879">
        <f t="shared" si="11"/>
        <v>-245000</v>
      </c>
      <c r="AD107" s="879">
        <f t="shared" si="12"/>
        <v>0</v>
      </c>
      <c r="AE107" s="879">
        <f t="shared" si="13"/>
        <v>-245000</v>
      </c>
      <c r="AF107" s="880">
        <f t="shared" si="14"/>
        <v>0</v>
      </c>
      <c r="AG107" s="880">
        <f>AE107+(3*49000)+98000</f>
        <v>0</v>
      </c>
      <c r="AH107" s="880">
        <f t="shared" si="15"/>
        <v>0</v>
      </c>
      <c r="AI107" s="878">
        <f>'[2]2021. előirányzat'!G107</f>
        <v>0</v>
      </c>
      <c r="AJ107" s="878">
        <f>'[2]2022. előirányzat'!G107</f>
        <v>0</v>
      </c>
      <c r="AK107" s="878">
        <f>'[2]2023. előirányzat'!G107</f>
        <v>0</v>
      </c>
      <c r="AL107" s="878">
        <f>'[2]2024. előirányzat'!G107</f>
        <v>0</v>
      </c>
      <c r="AM107" s="881">
        <f t="shared" si="16"/>
        <v>0</v>
      </c>
      <c r="AN107" s="881">
        <f t="shared" si="17"/>
        <v>0</v>
      </c>
      <c r="AO107" s="881">
        <f t="shared" si="18"/>
        <v>0</v>
      </c>
      <c r="AP107" s="881">
        <f t="shared" si="19"/>
        <v>0</v>
      </c>
      <c r="AQ107" s="882"/>
      <c r="AR107" s="883"/>
      <c r="AS107" s="884"/>
      <c r="AT107" s="882"/>
      <c r="AU107" s="882" t="s">
        <v>788</v>
      </c>
    </row>
    <row r="108" spans="1:47" ht="30" x14ac:dyDescent="0.25">
      <c r="A108" s="885" t="s">
        <v>590</v>
      </c>
      <c r="B108" s="755" t="str">
        <f>[1]előirányzat!B106</f>
        <v>Sé Község Önkormányzata</v>
      </c>
      <c r="C108" s="755">
        <v>1409</v>
      </c>
      <c r="D108" s="878">
        <f>'[2]2009. évi előirányzat'!M108</f>
        <v>0</v>
      </c>
      <c r="E108" s="878">
        <f>'[2]2009. évi előirányzat'!N108</f>
        <v>0</v>
      </c>
      <c r="F108" s="878">
        <f>'[2]2009. évi előirányzat'!O108</f>
        <v>0</v>
      </c>
      <c r="G108" s="878">
        <f>'[2]2010. évi előirányzat'!J108</f>
        <v>0</v>
      </c>
      <c r="H108" s="878">
        <f>'[2]2010. évi előirányzat'!K108</f>
        <v>0</v>
      </c>
      <c r="I108" s="878">
        <f>'[2]2011. évi előirányzat'!J108</f>
        <v>0</v>
      </c>
      <c r="J108" s="878">
        <f>'[2]2011. évi előirányzat'!K108</f>
        <v>0</v>
      </c>
      <c r="K108" s="878">
        <f>'[2]2012. évi előirányzat'!J108</f>
        <v>0</v>
      </c>
      <c r="L108" s="878">
        <f>'[2]2012. évi előirányzat'!K108</f>
        <v>0</v>
      </c>
      <c r="M108" s="878">
        <f>'[2]2013. előirányzat'!J108</f>
        <v>0</v>
      </c>
      <c r="N108" s="878">
        <f>'[2]2013. előirányzat'!K108</f>
        <v>0</v>
      </c>
      <c r="O108" s="878">
        <f>'[2]2014. évi előirányzat'!J108</f>
        <v>0</v>
      </c>
      <c r="P108" s="878">
        <f>'[2]2014. évi előirányzat'!K108</f>
        <v>0</v>
      </c>
      <c r="Q108" s="878">
        <f>'[2]2015. évi előirányzat'!J108</f>
        <v>0</v>
      </c>
      <c r="R108" s="878">
        <f>'[2]2015. évi előirányzat'!K108</f>
        <v>0</v>
      </c>
      <c r="S108" s="878">
        <f>'[2]2016 előirányzat'!J108</f>
        <v>0</v>
      </c>
      <c r="T108" s="878">
        <f>'[2]2016 előirányzat'!K108</f>
        <v>0</v>
      </c>
      <c r="U108" s="878">
        <f>'[2]2017. előirányzat'!J108</f>
        <v>0</v>
      </c>
      <c r="V108" s="878">
        <f>'[2]2017. előirányzat'!K108</f>
        <v>704500</v>
      </c>
      <c r="W108" s="878">
        <f>'[2]2018. előirányzat'!J108</f>
        <v>0</v>
      </c>
      <c r="X108" s="878">
        <f>'[2]2018. előirányzat'!K108</f>
        <v>704500</v>
      </c>
      <c r="Y108" s="878">
        <f>'[2]2019. előirányzat'!J108</f>
        <v>93933</v>
      </c>
      <c r="Z108" s="878">
        <f>'[2]2019. előirányzat'!K108</f>
        <v>704500</v>
      </c>
      <c r="AA108" s="878">
        <f>'[2]2020. előirányzat'!G108</f>
        <v>140900</v>
      </c>
      <c r="AB108" s="879">
        <f t="shared" si="10"/>
        <v>234833</v>
      </c>
      <c r="AC108" s="879">
        <f t="shared" si="11"/>
        <v>2113500</v>
      </c>
      <c r="AD108" s="879">
        <f t="shared" si="12"/>
        <v>0</v>
      </c>
      <c r="AE108" s="879">
        <f t="shared" si="13"/>
        <v>2348333</v>
      </c>
      <c r="AF108" s="880">
        <f t="shared" si="14"/>
        <v>234833</v>
      </c>
      <c r="AG108" s="880">
        <f>AC108</f>
        <v>2113500</v>
      </c>
      <c r="AH108" s="880">
        <f t="shared" si="15"/>
        <v>2348333</v>
      </c>
      <c r="AI108" s="878">
        <f>'[2]2021. előirányzat'!G108</f>
        <v>140900</v>
      </c>
      <c r="AJ108" s="878">
        <f>'[2]2022. előirányzat'!G108</f>
        <v>140900</v>
      </c>
      <c r="AK108" s="878">
        <f>'[2]2023. előirányzat'!G108</f>
        <v>140900</v>
      </c>
      <c r="AL108" s="878">
        <f>'[2]2024. előirányzat'!G108</f>
        <v>0</v>
      </c>
      <c r="AM108" s="881">
        <f t="shared" si="16"/>
        <v>657533</v>
      </c>
      <c r="AN108" s="881">
        <f t="shared" si="17"/>
        <v>2113500</v>
      </c>
      <c r="AO108" s="881">
        <f t="shared" si="18"/>
        <v>0</v>
      </c>
      <c r="AP108" s="881">
        <f t="shared" si="19"/>
        <v>2771033</v>
      </c>
      <c r="AQ108" s="882"/>
      <c r="AR108" s="883">
        <f>V108+X108+Z108</f>
        <v>2113500</v>
      </c>
      <c r="AS108" s="884">
        <f>AP108-AR108</f>
        <v>657533</v>
      </c>
      <c r="AT108" s="882"/>
      <c r="AU108" s="882" t="s">
        <v>788</v>
      </c>
    </row>
    <row r="109" spans="1:47" ht="30" x14ac:dyDescent="0.25">
      <c r="A109" s="885" t="s">
        <v>591</v>
      </c>
      <c r="B109" s="759" t="str">
        <f>[1]előirányzat!B107</f>
        <v>Sorkifalud Község Önkormányzata</v>
      </c>
      <c r="C109" s="755">
        <v>690</v>
      </c>
      <c r="D109" s="878">
        <f>'[2]2009. évi előirányzat'!M109</f>
        <v>0</v>
      </c>
      <c r="E109" s="878">
        <f>'[2]2009. évi előirányzat'!N109</f>
        <v>0</v>
      </c>
      <c r="F109" s="878">
        <f>'[2]2009. évi előirányzat'!O109</f>
        <v>0</v>
      </c>
      <c r="G109" s="878">
        <f>'[2]2010. évi előirányzat'!J109</f>
        <v>0</v>
      </c>
      <c r="H109" s="878">
        <f>'[2]2010. évi előirányzat'!K109</f>
        <v>0</v>
      </c>
      <c r="I109" s="878">
        <f>'[2]2011. évi előirányzat'!J109</f>
        <v>0</v>
      </c>
      <c r="J109" s="878">
        <f>'[2]2011. évi előirányzat'!K109</f>
        <v>0</v>
      </c>
      <c r="K109" s="878">
        <f>'[2]2012. évi előirányzat'!J109</f>
        <v>0</v>
      </c>
      <c r="L109" s="878">
        <f>'[2]2012. évi előirányzat'!K109</f>
        <v>0</v>
      </c>
      <c r="M109" s="878">
        <f>'[2]2013. előirányzat'!J109</f>
        <v>0</v>
      </c>
      <c r="N109" s="878">
        <f>'[2]2013. előirányzat'!K109</f>
        <v>0</v>
      </c>
      <c r="O109" s="878">
        <f>'[2]2014. évi előirányzat'!J109</f>
        <v>0</v>
      </c>
      <c r="P109" s="878">
        <f>'[2]2014. évi előirányzat'!K109</f>
        <v>0</v>
      </c>
      <c r="Q109" s="878">
        <f>'[2]2015. évi előirányzat'!J109</f>
        <v>36800</v>
      </c>
      <c r="R109" s="878">
        <f>'[2]2015. évi előirányzat'!K109</f>
        <v>345000</v>
      </c>
      <c r="S109" s="878">
        <f>'[2]2016 előirányzat'!J109</f>
        <v>69000</v>
      </c>
      <c r="T109" s="878">
        <f>'[2]2016 előirányzat'!K109</f>
        <v>345000</v>
      </c>
      <c r="U109" s="878">
        <f>'[2]2017. előirányzat'!J109</f>
        <v>69000</v>
      </c>
      <c r="V109" s="878">
        <f>'[2]2017. előirányzat'!K109</f>
        <v>345000</v>
      </c>
      <c r="W109" s="878">
        <f>'[2]2018. előirányzat'!J109</f>
        <v>69000</v>
      </c>
      <c r="X109" s="878">
        <f>'[2]2018. előirányzat'!K109</f>
        <v>345000</v>
      </c>
      <c r="Y109" s="878">
        <f>'[2]2019. előirányzat'!J109</f>
        <v>69000</v>
      </c>
      <c r="Z109" s="878">
        <f>'[2]2019. előirányzat'!K109</f>
        <v>345000</v>
      </c>
      <c r="AA109" s="878">
        <f>'[2]2020. előirányzat'!G109</f>
        <v>69000</v>
      </c>
      <c r="AB109" s="879">
        <f t="shared" si="10"/>
        <v>381800</v>
      </c>
      <c r="AC109" s="879">
        <f t="shared" si="11"/>
        <v>1725000</v>
      </c>
      <c r="AD109" s="879">
        <f t="shared" si="12"/>
        <v>0</v>
      </c>
      <c r="AE109" s="879">
        <f t="shared" si="13"/>
        <v>2106800</v>
      </c>
      <c r="AF109" s="880">
        <f t="shared" si="14"/>
        <v>381800</v>
      </c>
      <c r="AG109" s="880">
        <f>AC109</f>
        <v>1725000</v>
      </c>
      <c r="AH109" s="880">
        <f t="shared" si="15"/>
        <v>2106800</v>
      </c>
      <c r="AI109" s="878">
        <f>'[2]2021. előirányzat'!G109</f>
        <v>69000</v>
      </c>
      <c r="AJ109" s="878">
        <f>'[2]2022. előirányzat'!G109</f>
        <v>69000</v>
      </c>
      <c r="AK109" s="878">
        <f>'[2]2023. előirányzat'!G109</f>
        <v>69000</v>
      </c>
      <c r="AL109" s="878">
        <f>'[2]2024. előirányzat'!G109</f>
        <v>0</v>
      </c>
      <c r="AM109" s="881">
        <f t="shared" si="16"/>
        <v>588800</v>
      </c>
      <c r="AN109" s="881">
        <f t="shared" si="17"/>
        <v>1725000</v>
      </c>
      <c r="AO109" s="881">
        <f t="shared" si="18"/>
        <v>0</v>
      </c>
      <c r="AP109" s="881">
        <f t="shared" si="19"/>
        <v>2313800</v>
      </c>
      <c r="AQ109" s="888" t="s">
        <v>754</v>
      </c>
      <c r="AR109" s="883">
        <f>V109+X109+Z109</f>
        <v>1035000</v>
      </c>
      <c r="AS109" s="884">
        <f>AP109-AR109</f>
        <v>1278800</v>
      </c>
      <c r="AT109" s="882"/>
      <c r="AU109" s="882" t="s">
        <v>788</v>
      </c>
    </row>
    <row r="110" spans="1:47" ht="30" x14ac:dyDescent="0.25">
      <c r="A110" s="754" t="s">
        <v>592</v>
      </c>
      <c r="B110" s="759" t="str">
        <f>[1]előirányzat!B108</f>
        <v>Sorkikápolna Község Önkormányzata</v>
      </c>
      <c r="C110" s="755">
        <v>265</v>
      </c>
      <c r="D110" s="878">
        <f>'[2]2009. évi előirányzat'!M110</f>
        <v>0</v>
      </c>
      <c r="E110" s="878">
        <f>'[2]2009. évi előirányzat'!N110</f>
        <v>0</v>
      </c>
      <c r="F110" s="878">
        <f>'[2]2009. évi előirányzat'!O110</f>
        <v>0</v>
      </c>
      <c r="G110" s="878">
        <f>'[2]2010. évi előirányzat'!J110</f>
        <v>0</v>
      </c>
      <c r="H110" s="878">
        <f>'[2]2010. évi előirányzat'!K110</f>
        <v>0</v>
      </c>
      <c r="I110" s="878">
        <f>'[2]2011. évi előirányzat'!J110</f>
        <v>0</v>
      </c>
      <c r="J110" s="878">
        <f>'[2]2011. évi előirányzat'!K110</f>
        <v>0</v>
      </c>
      <c r="K110" s="878">
        <f>'[2]2012. évi előirányzat'!J110</f>
        <v>0</v>
      </c>
      <c r="L110" s="878">
        <f>'[2]2012. évi előirányzat'!K110</f>
        <v>0</v>
      </c>
      <c r="M110" s="878">
        <f>'[2]2013. előirányzat'!J110</f>
        <v>0</v>
      </c>
      <c r="N110" s="878">
        <f>'[2]2013. előirányzat'!K110</f>
        <v>0</v>
      </c>
      <c r="O110" s="878">
        <f>'[2]2014. évi előirányzat'!J110</f>
        <v>0</v>
      </c>
      <c r="P110" s="878">
        <f>'[2]2014. évi előirányzat'!K110</f>
        <v>0</v>
      </c>
      <c r="Q110" s="878">
        <f>'[2]2015. évi előirányzat'!J110</f>
        <v>0</v>
      </c>
      <c r="R110" s="878">
        <f>'[2]2015. évi előirányzat'!K110</f>
        <v>0</v>
      </c>
      <c r="S110" s="878">
        <f>'[2]2016 előirányzat'!J110</f>
        <v>0</v>
      </c>
      <c r="T110" s="878">
        <f>'[2]2016 előirányzat'!K110</f>
        <v>0</v>
      </c>
      <c r="U110" s="878">
        <f>'[2]2017. előirányzat'!J110</f>
        <v>0</v>
      </c>
      <c r="V110" s="878">
        <f>'[2]2017. előirányzat'!K110</f>
        <v>0</v>
      </c>
      <c r="W110" s="878">
        <f>'[2]2018. előirányzat'!J110</f>
        <v>0</v>
      </c>
      <c r="X110" s="878">
        <f>'[2]2018. előirányzat'!K110</f>
        <v>0</v>
      </c>
      <c r="Y110" s="878">
        <f>'[2]2019. előirányzat'!J110</f>
        <v>0</v>
      </c>
      <c r="Z110" s="878">
        <f>'[2]2019. előirányzat'!K110</f>
        <v>0</v>
      </c>
      <c r="AA110" s="878">
        <f>'[2]2020. előirányzat'!G110</f>
        <v>0</v>
      </c>
      <c r="AB110" s="879">
        <f t="shared" si="10"/>
        <v>0</v>
      </c>
      <c r="AC110" s="879">
        <f t="shared" si="11"/>
        <v>0</v>
      </c>
      <c r="AD110" s="879">
        <f t="shared" si="12"/>
        <v>0</v>
      </c>
      <c r="AE110" s="879">
        <f t="shared" si="13"/>
        <v>0</v>
      </c>
      <c r="AF110" s="880">
        <f t="shared" si="14"/>
        <v>0</v>
      </c>
      <c r="AG110" s="880">
        <f>AC110</f>
        <v>0</v>
      </c>
      <c r="AH110" s="880">
        <f t="shared" si="15"/>
        <v>0</v>
      </c>
      <c r="AI110" s="878">
        <f>'[2]2021. előirányzat'!G110</f>
        <v>0</v>
      </c>
      <c r="AJ110" s="878">
        <f>'[2]2022. előirányzat'!G110</f>
        <v>0</v>
      </c>
      <c r="AK110" s="878">
        <f>'[2]2023. előirányzat'!G110</f>
        <v>0</v>
      </c>
      <c r="AL110" s="878">
        <f>'[2]2024. előirányzat'!G110</f>
        <v>0</v>
      </c>
      <c r="AM110" s="881">
        <f t="shared" si="16"/>
        <v>0</v>
      </c>
      <c r="AN110" s="881">
        <f t="shared" si="17"/>
        <v>0</v>
      </c>
      <c r="AO110" s="881">
        <f t="shared" si="18"/>
        <v>0</v>
      </c>
      <c r="AP110" s="881">
        <f t="shared" si="19"/>
        <v>0</v>
      </c>
      <c r="AQ110" s="888" t="s">
        <v>754</v>
      </c>
      <c r="AR110" s="883">
        <f>V110+X110+Z110</f>
        <v>0</v>
      </c>
      <c r="AS110" s="884">
        <f>AP110-AR110</f>
        <v>0</v>
      </c>
      <c r="AT110" s="882"/>
      <c r="AU110" s="882" t="s">
        <v>788</v>
      </c>
    </row>
    <row r="111" spans="1:47" ht="30" x14ac:dyDescent="0.25">
      <c r="A111" s="885" t="s">
        <v>593</v>
      </c>
      <c r="B111" s="759" t="str">
        <f>[1]előirányzat!B109</f>
        <v>Sorokpolány Község Önkormányzata</v>
      </c>
      <c r="C111" s="755">
        <v>854</v>
      </c>
      <c r="D111" s="878">
        <f>'[2]2009. évi előirányzat'!M111</f>
        <v>0</v>
      </c>
      <c r="E111" s="878">
        <f>'[2]2009. évi előirányzat'!N111</f>
        <v>0</v>
      </c>
      <c r="F111" s="878">
        <f>'[2]2009. évi előirányzat'!O111</f>
        <v>0</v>
      </c>
      <c r="G111" s="878">
        <f>'[2]2010. évi előirányzat'!J111</f>
        <v>0</v>
      </c>
      <c r="H111" s="878">
        <f>'[2]2010. évi előirányzat'!K111</f>
        <v>0</v>
      </c>
      <c r="I111" s="878">
        <f>'[2]2011. évi előirányzat'!J111</f>
        <v>0</v>
      </c>
      <c r="J111" s="878">
        <f>'[2]2011. évi előirányzat'!K111</f>
        <v>0</v>
      </c>
      <c r="K111" s="878">
        <f>'[2]2012. évi előirányzat'!J111</f>
        <v>0</v>
      </c>
      <c r="L111" s="878">
        <f>'[2]2012. évi előirányzat'!K111</f>
        <v>0</v>
      </c>
      <c r="M111" s="878">
        <f>'[2]2013. előirányzat'!J111</f>
        <v>0</v>
      </c>
      <c r="N111" s="878">
        <f>'[2]2013. előirányzat'!K111</f>
        <v>0</v>
      </c>
      <c r="O111" s="878">
        <f>'[2]2014. évi előirányzat'!J111</f>
        <v>0</v>
      </c>
      <c r="P111" s="878">
        <f>'[2]2014. évi előirányzat'!K111</f>
        <v>0</v>
      </c>
      <c r="Q111" s="878">
        <f>'[2]2015. évi előirányzat'!J111</f>
        <v>0</v>
      </c>
      <c r="R111" s="878">
        <f>'[2]2015. évi előirányzat'!K111</f>
        <v>0</v>
      </c>
      <c r="S111" s="878">
        <f>'[2]2016 előirányzat'!J111</f>
        <v>0</v>
      </c>
      <c r="T111" s="878">
        <f>'[2]2016 előirányzat'!K111</f>
        <v>0</v>
      </c>
      <c r="U111" s="878">
        <f>'[2]2017. előirányzat'!J111</f>
        <v>0</v>
      </c>
      <c r="V111" s="878">
        <f>'[2]2017. előirányzat'!K111</f>
        <v>0</v>
      </c>
      <c r="W111" s="878">
        <f>'[2]2018. előirányzat'!J111</f>
        <v>0</v>
      </c>
      <c r="X111" s="878">
        <f>'[2]2018. előirányzat'!K111</f>
        <v>0</v>
      </c>
      <c r="Y111" s="878">
        <f>'[2]2019. előirányzat'!J111</f>
        <v>0</v>
      </c>
      <c r="Z111" s="878">
        <f>'[2]2019. előirányzat'!K111</f>
        <v>0</v>
      </c>
      <c r="AA111" s="878">
        <f>'[2]2020. előirányzat'!G111</f>
        <v>0</v>
      </c>
      <c r="AB111" s="879">
        <f t="shared" si="10"/>
        <v>0</v>
      </c>
      <c r="AC111" s="879">
        <f t="shared" si="11"/>
        <v>0</v>
      </c>
      <c r="AD111" s="879">
        <f t="shared" si="12"/>
        <v>0</v>
      </c>
      <c r="AE111" s="879">
        <f t="shared" si="13"/>
        <v>0</v>
      </c>
      <c r="AF111" s="880">
        <f t="shared" si="14"/>
        <v>0</v>
      </c>
      <c r="AG111" s="880">
        <f>AC111</f>
        <v>0</v>
      </c>
      <c r="AH111" s="880">
        <f t="shared" si="15"/>
        <v>0</v>
      </c>
      <c r="AI111" s="878">
        <f>'[2]2021. előirányzat'!G111</f>
        <v>0</v>
      </c>
      <c r="AJ111" s="878">
        <f>'[2]2022. előirányzat'!G111</f>
        <v>0</v>
      </c>
      <c r="AK111" s="878">
        <f>'[2]2023. előirányzat'!G111</f>
        <v>0</v>
      </c>
      <c r="AL111" s="878">
        <f>'[2]2024. előirányzat'!G111</f>
        <v>0</v>
      </c>
      <c r="AM111" s="881">
        <f t="shared" si="16"/>
        <v>0</v>
      </c>
      <c r="AN111" s="881">
        <f t="shared" si="17"/>
        <v>0</v>
      </c>
      <c r="AO111" s="881">
        <f t="shared" si="18"/>
        <v>0</v>
      </c>
      <c r="AP111" s="881">
        <f t="shared" si="19"/>
        <v>0</v>
      </c>
      <c r="AQ111" s="888" t="s">
        <v>754</v>
      </c>
      <c r="AR111" s="883">
        <f>V111+X111+Z111</f>
        <v>0</v>
      </c>
      <c r="AS111" s="884">
        <f>AP111-AR111</f>
        <v>0</v>
      </c>
      <c r="AT111" s="882"/>
      <c r="AU111" s="882" t="s">
        <v>788</v>
      </c>
    </row>
    <row r="112" spans="1:47" ht="30" x14ac:dyDescent="0.25">
      <c r="A112" s="885" t="s">
        <v>594</v>
      </c>
      <c r="B112" s="757" t="str">
        <f>[1]előirányzat!B110</f>
        <v>Söpte Község Önkormányzata</v>
      </c>
      <c r="C112" s="755">
        <v>803</v>
      </c>
      <c r="D112" s="878">
        <f>'[2]2009. évi előirányzat'!M112</f>
        <v>0</v>
      </c>
      <c r="E112" s="878">
        <f>'[2]2009. évi előirányzat'!N112</f>
        <v>0</v>
      </c>
      <c r="F112" s="878">
        <f>'[2]2009. évi előirányzat'!O112</f>
        <v>0</v>
      </c>
      <c r="G112" s="878">
        <f>'[2]2010. évi előirányzat'!J112</f>
        <v>0</v>
      </c>
      <c r="H112" s="878">
        <f>'[2]2010. évi előirányzat'!K112</f>
        <v>0</v>
      </c>
      <c r="I112" s="878">
        <f>'[2]2011. évi előirányzat'!J112</f>
        <v>0</v>
      </c>
      <c r="J112" s="878">
        <f>'[2]2011. évi előirányzat'!K112</f>
        <v>0</v>
      </c>
      <c r="K112" s="878">
        <f>'[2]2012. évi előirányzat'!J112</f>
        <v>0</v>
      </c>
      <c r="L112" s="878">
        <f>'[2]2012. évi előirányzat'!K112</f>
        <v>0</v>
      </c>
      <c r="M112" s="878">
        <f>'[2]2013. előirányzat'!J112</f>
        <v>0</v>
      </c>
      <c r="N112" s="878">
        <f>'[2]2013. előirányzat'!K112</f>
        <v>0</v>
      </c>
      <c r="O112" s="878">
        <f>'[2]2014. évi előirányzat'!J112</f>
        <v>0</v>
      </c>
      <c r="P112" s="878">
        <f>'[2]2014. évi előirányzat'!K112</f>
        <v>0</v>
      </c>
      <c r="Q112" s="878">
        <f>'[2]2015. évi előirányzat'!J112</f>
        <v>0</v>
      </c>
      <c r="R112" s="878">
        <f>'[2]2015. évi előirányzat'!K112</f>
        <v>0</v>
      </c>
      <c r="S112" s="878">
        <f>'[2]2016 előirányzat'!J112</f>
        <v>0</v>
      </c>
      <c r="T112" s="878">
        <f>'[2]2016 előirányzat'!K112</f>
        <v>0</v>
      </c>
      <c r="U112" s="878">
        <f>'[2]2017. előirányzat'!J112</f>
        <v>0</v>
      </c>
      <c r="V112" s="878">
        <f>'[2]2017. előirányzat'!K112</f>
        <v>-401500</v>
      </c>
      <c r="W112" s="878">
        <f>'[2]2018. előirányzat'!J112</f>
        <v>0</v>
      </c>
      <c r="X112" s="878">
        <f>'[2]2018. előirányzat'!K112</f>
        <v>0</v>
      </c>
      <c r="Y112" s="878">
        <f>'[2]2019. előirányzat'!J112</f>
        <v>0</v>
      </c>
      <c r="Z112" s="878">
        <f>'[2]2019. előirányzat'!K112</f>
        <v>0</v>
      </c>
      <c r="AA112" s="878">
        <f>'[2]2020. előirányzat'!G112</f>
        <v>0</v>
      </c>
      <c r="AB112" s="879">
        <f t="shared" si="10"/>
        <v>0</v>
      </c>
      <c r="AC112" s="879">
        <f t="shared" si="11"/>
        <v>-401500</v>
      </c>
      <c r="AD112" s="879">
        <f t="shared" si="12"/>
        <v>0</v>
      </c>
      <c r="AE112" s="879">
        <f t="shared" si="13"/>
        <v>-401500</v>
      </c>
      <c r="AF112" s="880">
        <f t="shared" si="14"/>
        <v>0</v>
      </c>
      <c r="AG112" s="880">
        <f>AE112+(3*80300)+160600</f>
        <v>0</v>
      </c>
      <c r="AH112" s="880">
        <f t="shared" si="15"/>
        <v>0</v>
      </c>
      <c r="AI112" s="878">
        <f>'[2]2021. előirányzat'!G112</f>
        <v>0</v>
      </c>
      <c r="AJ112" s="878">
        <f>'[2]2022. előirányzat'!G112</f>
        <v>0</v>
      </c>
      <c r="AK112" s="878">
        <f>'[2]2023. előirányzat'!G112</f>
        <v>0</v>
      </c>
      <c r="AL112" s="878">
        <f>'[2]2024. előirányzat'!G112</f>
        <v>0</v>
      </c>
      <c r="AM112" s="881">
        <f t="shared" si="16"/>
        <v>0</v>
      </c>
      <c r="AN112" s="881">
        <f t="shared" si="17"/>
        <v>0</v>
      </c>
      <c r="AO112" s="881">
        <f t="shared" si="18"/>
        <v>0</v>
      </c>
      <c r="AP112" s="881">
        <f t="shared" si="19"/>
        <v>0</v>
      </c>
      <c r="AQ112" s="882"/>
      <c r="AR112" s="883"/>
      <c r="AS112" s="884"/>
      <c r="AT112" s="882"/>
      <c r="AU112" s="882" t="s">
        <v>788</v>
      </c>
    </row>
    <row r="113" spans="1:50" ht="30" x14ac:dyDescent="0.25">
      <c r="A113" s="754" t="s">
        <v>595</v>
      </c>
      <c r="B113" s="757" t="str">
        <f>[1]előirányzat!B111</f>
        <v>Szaknyér Község Önkormányzata</v>
      </c>
      <c r="C113" s="755">
        <v>67</v>
      </c>
      <c r="D113" s="878">
        <f>'[2]2009. évi előirányzat'!M113</f>
        <v>0</v>
      </c>
      <c r="E113" s="878">
        <f>'[2]2009. évi előirányzat'!N113</f>
        <v>0</v>
      </c>
      <c r="F113" s="878">
        <f>'[2]2009. évi előirányzat'!O113</f>
        <v>0</v>
      </c>
      <c r="G113" s="878">
        <f>'[2]2010. évi előirányzat'!J113</f>
        <v>0</v>
      </c>
      <c r="H113" s="878">
        <f>'[2]2010. évi előirányzat'!K113</f>
        <v>0</v>
      </c>
      <c r="I113" s="878">
        <f>'[2]2011. évi előirányzat'!J113</f>
        <v>0</v>
      </c>
      <c r="J113" s="878">
        <f>'[2]2011. évi előirányzat'!K113</f>
        <v>0</v>
      </c>
      <c r="K113" s="878">
        <f>'[2]2012. évi előirányzat'!J113</f>
        <v>0</v>
      </c>
      <c r="L113" s="878">
        <f>'[2]2012. évi előirányzat'!K113</f>
        <v>0</v>
      </c>
      <c r="M113" s="878">
        <f>'[2]2013. előirányzat'!J113</f>
        <v>0</v>
      </c>
      <c r="N113" s="878">
        <f>'[2]2013. előirányzat'!K113</f>
        <v>0</v>
      </c>
      <c r="O113" s="878">
        <f>'[2]2014. évi előirányzat'!J113</f>
        <v>0</v>
      </c>
      <c r="P113" s="878">
        <f>'[2]2014. évi előirányzat'!K113</f>
        <v>0</v>
      </c>
      <c r="Q113" s="878">
        <f>'[2]2015. évi előirányzat'!J113</f>
        <v>0</v>
      </c>
      <c r="R113" s="878">
        <f>'[2]2015. évi előirányzat'!K113</f>
        <v>0</v>
      </c>
      <c r="S113" s="878">
        <f>'[2]2016 előirányzat'!J113</f>
        <v>0</v>
      </c>
      <c r="T113" s="878">
        <f>'[2]2016 előirányzat'!K113</f>
        <v>0</v>
      </c>
      <c r="U113" s="878">
        <f>'[2]2017. előirányzat'!J113</f>
        <v>0</v>
      </c>
      <c r="V113" s="878">
        <f>'[2]2017. előirányzat'!K113</f>
        <v>-33500</v>
      </c>
      <c r="W113" s="878">
        <f>'[2]2018. előirányzat'!J113</f>
        <v>0</v>
      </c>
      <c r="X113" s="878">
        <f>'[2]2018. előirányzat'!K113</f>
        <v>-33500</v>
      </c>
      <c r="Y113" s="878">
        <f>'[2]2019. előirányzat'!J113</f>
        <v>0</v>
      </c>
      <c r="Z113" s="878">
        <f>'[2]2019. előirányzat'!K113</f>
        <v>-33500</v>
      </c>
      <c r="AA113" s="878">
        <f>'[2]2020. előirányzat'!G113</f>
        <v>0</v>
      </c>
      <c r="AB113" s="879">
        <f t="shared" si="10"/>
        <v>0</v>
      </c>
      <c r="AC113" s="879">
        <f t="shared" si="11"/>
        <v>-100500</v>
      </c>
      <c r="AD113" s="879">
        <f t="shared" si="12"/>
        <v>0</v>
      </c>
      <c r="AE113" s="879">
        <f t="shared" si="13"/>
        <v>-100500</v>
      </c>
      <c r="AF113" s="880">
        <f t="shared" si="14"/>
        <v>0</v>
      </c>
      <c r="AG113" s="880">
        <f>AE113+6700+93800</f>
        <v>0</v>
      </c>
      <c r="AH113" s="880">
        <f t="shared" si="15"/>
        <v>0</v>
      </c>
      <c r="AI113" s="878">
        <f>'[2]2021. előirányzat'!G113</f>
        <v>0</v>
      </c>
      <c r="AJ113" s="878">
        <f>'[2]2022. előirányzat'!G113</f>
        <v>0</v>
      </c>
      <c r="AK113" s="878">
        <f>'[2]2023. előirányzat'!G113</f>
        <v>0</v>
      </c>
      <c r="AL113" s="878">
        <f>'[2]2024. előirányzat'!G113</f>
        <v>0</v>
      </c>
      <c r="AM113" s="881">
        <f t="shared" si="16"/>
        <v>0</v>
      </c>
      <c r="AN113" s="881">
        <f t="shared" si="17"/>
        <v>0</v>
      </c>
      <c r="AO113" s="881">
        <f t="shared" si="18"/>
        <v>0</v>
      </c>
      <c r="AP113" s="881">
        <f t="shared" si="19"/>
        <v>0</v>
      </c>
      <c r="AQ113" s="882"/>
      <c r="AR113" s="883"/>
      <c r="AS113" s="884"/>
      <c r="AT113" s="882"/>
      <c r="AU113" s="882" t="s">
        <v>781</v>
      </c>
    </row>
    <row r="114" spans="1:50" ht="30" x14ac:dyDescent="0.25">
      <c r="A114" s="885" t="s">
        <v>596</v>
      </c>
      <c r="B114" s="757" t="str">
        <f>[1]előirányzat!B112</f>
        <v>Szalafő Község Önkormányzata</v>
      </c>
      <c r="C114" s="755">
        <v>224</v>
      </c>
      <c r="D114" s="878">
        <f>'[2]2009. évi előirányzat'!M114</f>
        <v>0</v>
      </c>
      <c r="E114" s="878">
        <f>'[2]2009. évi előirányzat'!N114</f>
        <v>0</v>
      </c>
      <c r="F114" s="878">
        <f>'[2]2009. évi előirányzat'!O114</f>
        <v>0</v>
      </c>
      <c r="G114" s="878">
        <f>'[2]2010. évi előirányzat'!J114</f>
        <v>0</v>
      </c>
      <c r="H114" s="878">
        <f>'[2]2010. évi előirányzat'!K114</f>
        <v>0</v>
      </c>
      <c r="I114" s="878">
        <f>'[2]2011. évi előirányzat'!J114</f>
        <v>0</v>
      </c>
      <c r="J114" s="878">
        <f>'[2]2011. évi előirányzat'!K114</f>
        <v>0</v>
      </c>
      <c r="K114" s="878">
        <f>'[2]2012. évi előirányzat'!J114</f>
        <v>0</v>
      </c>
      <c r="L114" s="878">
        <f>'[2]2012. évi előirányzat'!K114</f>
        <v>0</v>
      </c>
      <c r="M114" s="878">
        <f>'[2]2013. előirányzat'!J114</f>
        <v>0</v>
      </c>
      <c r="N114" s="878">
        <f>'[2]2013. előirányzat'!K114</f>
        <v>0</v>
      </c>
      <c r="O114" s="878">
        <f>'[2]2014. évi előirányzat'!J114</f>
        <v>0</v>
      </c>
      <c r="P114" s="878">
        <f>'[2]2014. évi előirányzat'!K114</f>
        <v>0</v>
      </c>
      <c r="Q114" s="878">
        <f>'[2]2015. évi előirányzat'!J114</f>
        <v>0</v>
      </c>
      <c r="R114" s="878">
        <f>'[2]2015. évi előirányzat'!K114</f>
        <v>0</v>
      </c>
      <c r="S114" s="878">
        <f>'[2]2016 előirányzat'!J114</f>
        <v>0</v>
      </c>
      <c r="T114" s="878">
        <f>'[2]2016 előirányzat'!K114</f>
        <v>0</v>
      </c>
      <c r="U114" s="878">
        <f>'[2]2017. előirányzat'!J114</f>
        <v>0</v>
      </c>
      <c r="V114" s="878">
        <f>'[2]2017. előirányzat'!K114</f>
        <v>-112000</v>
      </c>
      <c r="W114" s="878">
        <f>'[2]2018. előirányzat'!J114</f>
        <v>0</v>
      </c>
      <c r="X114" s="878">
        <f>'[2]2018. előirányzat'!K114</f>
        <v>-112000</v>
      </c>
      <c r="Y114" s="878">
        <f>'[2]2019. előirányzat'!J114</f>
        <v>0</v>
      </c>
      <c r="Z114" s="878">
        <f>'[2]2019. előirányzat'!K114</f>
        <v>0</v>
      </c>
      <c r="AA114" s="878">
        <f>'[2]2020. előirányzat'!G114</f>
        <v>0</v>
      </c>
      <c r="AB114" s="879">
        <f t="shared" si="10"/>
        <v>0</v>
      </c>
      <c r="AC114" s="879">
        <f t="shared" si="11"/>
        <v>-224000</v>
      </c>
      <c r="AD114" s="879">
        <f t="shared" si="12"/>
        <v>0</v>
      </c>
      <c r="AE114" s="879">
        <f t="shared" si="13"/>
        <v>-224000</v>
      </c>
      <c r="AF114" s="880">
        <f t="shared" si="14"/>
        <v>0</v>
      </c>
      <c r="AG114" s="880">
        <f>AE114+(2*22400)+179200</f>
        <v>0</v>
      </c>
      <c r="AH114" s="880">
        <f t="shared" si="15"/>
        <v>0</v>
      </c>
      <c r="AI114" s="878">
        <f>'[2]2021. előirányzat'!G114</f>
        <v>0</v>
      </c>
      <c r="AJ114" s="878">
        <f>'[2]2022. előirányzat'!G114</f>
        <v>0</v>
      </c>
      <c r="AK114" s="878">
        <f>'[2]2023. előirányzat'!G114</f>
        <v>0</v>
      </c>
      <c r="AL114" s="878">
        <f>'[2]2024. előirányzat'!G114</f>
        <v>0</v>
      </c>
      <c r="AM114" s="881">
        <f t="shared" si="16"/>
        <v>0</v>
      </c>
      <c r="AN114" s="881">
        <f t="shared" si="17"/>
        <v>0</v>
      </c>
      <c r="AO114" s="881">
        <f t="shared" si="18"/>
        <v>0</v>
      </c>
      <c r="AP114" s="881">
        <f t="shared" si="19"/>
        <v>0</v>
      </c>
      <c r="AQ114" s="882"/>
      <c r="AR114" s="883"/>
      <c r="AS114" s="884"/>
      <c r="AT114" s="882"/>
      <c r="AU114" s="882" t="s">
        <v>781</v>
      </c>
    </row>
    <row r="115" spans="1:50" ht="30" x14ac:dyDescent="0.25">
      <c r="A115" s="885" t="s">
        <v>597</v>
      </c>
      <c r="B115" s="757" t="str">
        <f>[1]előirányzat!B113</f>
        <v>Szarvaskend Község Önkormányzata</v>
      </c>
      <c r="C115" s="755">
        <v>233</v>
      </c>
      <c r="D115" s="878">
        <f>'[2]2009. évi előirányzat'!M115</f>
        <v>0</v>
      </c>
      <c r="E115" s="878">
        <f>'[2]2009. évi előirányzat'!N115</f>
        <v>0</v>
      </c>
      <c r="F115" s="878">
        <f>'[2]2009. évi előirányzat'!O115</f>
        <v>0</v>
      </c>
      <c r="G115" s="878">
        <f>'[2]2010. évi előirányzat'!J115</f>
        <v>0</v>
      </c>
      <c r="H115" s="878">
        <f>'[2]2010. évi előirányzat'!K115</f>
        <v>0</v>
      </c>
      <c r="I115" s="878">
        <f>'[2]2011. évi előirányzat'!J115</f>
        <v>0</v>
      </c>
      <c r="J115" s="878">
        <f>'[2]2011. évi előirányzat'!K115</f>
        <v>0</v>
      </c>
      <c r="K115" s="878">
        <f>'[2]2012. évi előirányzat'!J115</f>
        <v>0</v>
      </c>
      <c r="L115" s="878">
        <f>'[2]2012. évi előirányzat'!K115</f>
        <v>0</v>
      </c>
      <c r="M115" s="878">
        <f>'[2]2013. előirányzat'!J115</f>
        <v>0</v>
      </c>
      <c r="N115" s="878">
        <f>'[2]2013. előirányzat'!K115</f>
        <v>0</v>
      </c>
      <c r="O115" s="878">
        <f>'[2]2014. évi előirányzat'!J115</f>
        <v>0</v>
      </c>
      <c r="P115" s="878">
        <f>'[2]2014. évi előirányzat'!K115</f>
        <v>0</v>
      </c>
      <c r="Q115" s="878">
        <f>'[2]2015. évi előirányzat'!J115</f>
        <v>0</v>
      </c>
      <c r="R115" s="878">
        <f>'[2]2015. évi előirányzat'!K115</f>
        <v>0</v>
      </c>
      <c r="S115" s="878">
        <f>'[2]2016 előirányzat'!J115</f>
        <v>0</v>
      </c>
      <c r="T115" s="878">
        <f>'[2]2016 előirányzat'!K115</f>
        <v>0</v>
      </c>
      <c r="U115" s="878">
        <f>'[2]2017. előirányzat'!J115</f>
        <v>0</v>
      </c>
      <c r="V115" s="878">
        <f>'[2]2017. előirányzat'!K115</f>
        <v>0</v>
      </c>
      <c r="W115" s="878">
        <f>'[2]2018. előirányzat'!J115</f>
        <v>0</v>
      </c>
      <c r="X115" s="878">
        <f>'[2]2018. előirányzat'!K115</f>
        <v>0</v>
      </c>
      <c r="Y115" s="878">
        <f>'[2]2019. előirányzat'!J115</f>
        <v>0</v>
      </c>
      <c r="Z115" s="878">
        <f>'[2]2019. előirányzat'!K115</f>
        <v>0</v>
      </c>
      <c r="AA115" s="878">
        <f>'[2]2020. előirányzat'!G115</f>
        <v>0</v>
      </c>
      <c r="AB115" s="879">
        <f t="shared" si="10"/>
        <v>0</v>
      </c>
      <c r="AC115" s="879">
        <f t="shared" si="11"/>
        <v>0</v>
      </c>
      <c r="AD115" s="879">
        <f t="shared" si="12"/>
        <v>0</v>
      </c>
      <c r="AE115" s="879">
        <f t="shared" si="13"/>
        <v>0</v>
      </c>
      <c r="AF115" s="880">
        <f t="shared" si="14"/>
        <v>0</v>
      </c>
      <c r="AG115" s="880">
        <f>AC115</f>
        <v>0</v>
      </c>
      <c r="AH115" s="880">
        <f t="shared" si="15"/>
        <v>0</v>
      </c>
      <c r="AI115" s="878">
        <f>'[2]2021. előirányzat'!G115</f>
        <v>0</v>
      </c>
      <c r="AJ115" s="878">
        <f>'[2]2022. előirányzat'!G115</f>
        <v>0</v>
      </c>
      <c r="AK115" s="878">
        <f>'[2]2023. előirányzat'!G115</f>
        <v>0</v>
      </c>
      <c r="AL115" s="878">
        <f>'[2]2024. előirányzat'!G115</f>
        <v>0</v>
      </c>
      <c r="AM115" s="881">
        <f t="shared" si="16"/>
        <v>0</v>
      </c>
      <c r="AN115" s="881">
        <f t="shared" si="17"/>
        <v>0</v>
      </c>
      <c r="AO115" s="881">
        <f t="shared" si="18"/>
        <v>0</v>
      </c>
      <c r="AP115" s="881">
        <f t="shared" si="19"/>
        <v>0</v>
      </c>
      <c r="AQ115" s="882"/>
      <c r="AR115" s="883"/>
      <c r="AS115" s="884"/>
      <c r="AT115" s="882"/>
      <c r="AU115" s="882" t="s">
        <v>786</v>
      </c>
    </row>
    <row r="116" spans="1:50" ht="30" x14ac:dyDescent="0.25">
      <c r="A116" s="754" t="s">
        <v>702</v>
      </c>
      <c r="B116" s="757" t="str">
        <f>[1]előirányzat!B114</f>
        <v>Szemenye Község Önkormányzata</v>
      </c>
      <c r="C116" s="755">
        <v>333</v>
      </c>
      <c r="D116" s="878">
        <f>'[2]2009. évi előirányzat'!M116</f>
        <v>0</v>
      </c>
      <c r="E116" s="878">
        <f>'[2]2009. évi előirányzat'!N116</f>
        <v>0</v>
      </c>
      <c r="F116" s="878">
        <f>'[2]2009. évi előirányzat'!O116</f>
        <v>0</v>
      </c>
      <c r="G116" s="878">
        <f>'[2]2010. évi előirányzat'!J116</f>
        <v>0</v>
      </c>
      <c r="H116" s="878">
        <f>'[2]2010. évi előirányzat'!K116</f>
        <v>0</v>
      </c>
      <c r="I116" s="878">
        <f>'[2]2011. évi előirányzat'!J116</f>
        <v>0</v>
      </c>
      <c r="J116" s="878">
        <f>'[2]2011. évi előirányzat'!K116</f>
        <v>0</v>
      </c>
      <c r="K116" s="878">
        <f>'[2]2012. évi előirányzat'!J116</f>
        <v>0</v>
      </c>
      <c r="L116" s="878">
        <f>'[2]2012. évi előirányzat'!K116</f>
        <v>0</v>
      </c>
      <c r="M116" s="878">
        <f>'[2]2013. előirányzat'!J116</f>
        <v>0</v>
      </c>
      <c r="N116" s="878">
        <f>'[2]2013. előirányzat'!K116</f>
        <v>0</v>
      </c>
      <c r="O116" s="878">
        <f>'[2]2014. évi előirányzat'!J116</f>
        <v>0</v>
      </c>
      <c r="P116" s="878">
        <f>'[2]2014. évi előirányzat'!K116</f>
        <v>0</v>
      </c>
      <c r="Q116" s="878">
        <f>'[2]2015. évi előirányzat'!J116</f>
        <v>0</v>
      </c>
      <c r="R116" s="878">
        <f>'[2]2015. évi előirányzat'!K116</f>
        <v>0</v>
      </c>
      <c r="S116" s="878">
        <f>'[2]2016 előirányzat'!J116</f>
        <v>0</v>
      </c>
      <c r="T116" s="878">
        <f>'[2]2016 előirányzat'!K116</f>
        <v>0</v>
      </c>
      <c r="U116" s="878">
        <f>'[2]2017. előirányzat'!J116</f>
        <v>0</v>
      </c>
      <c r="V116" s="878">
        <f>'[2]2017. előirányzat'!K116</f>
        <v>-166500</v>
      </c>
      <c r="W116" s="878">
        <f>'[2]2018. előirányzat'!J116</f>
        <v>0</v>
      </c>
      <c r="X116" s="878">
        <f>'[2]2018. előirányzat'!K116</f>
        <v>0</v>
      </c>
      <c r="Y116" s="878">
        <f>'[2]2019. előirányzat'!J116</f>
        <v>0</v>
      </c>
      <c r="Z116" s="878">
        <f>'[2]2019. előirányzat'!K116</f>
        <v>0</v>
      </c>
      <c r="AA116" s="878">
        <f>'[2]2020. előirányzat'!G116</f>
        <v>0</v>
      </c>
      <c r="AB116" s="879">
        <f t="shared" si="10"/>
        <v>0</v>
      </c>
      <c r="AC116" s="879">
        <f t="shared" si="11"/>
        <v>-166500</v>
      </c>
      <c r="AD116" s="879">
        <f t="shared" si="12"/>
        <v>0</v>
      </c>
      <c r="AE116" s="879">
        <f t="shared" si="13"/>
        <v>-166500</v>
      </c>
      <c r="AF116" s="880">
        <f t="shared" si="14"/>
        <v>0</v>
      </c>
      <c r="AG116" s="880">
        <f>AE116+(3*33300)+66600</f>
        <v>0</v>
      </c>
      <c r="AH116" s="880">
        <f t="shared" si="15"/>
        <v>0</v>
      </c>
      <c r="AI116" s="878">
        <f>'[2]2021. előirányzat'!G116</f>
        <v>0</v>
      </c>
      <c r="AJ116" s="878">
        <f>'[2]2022. előirányzat'!G116</f>
        <v>0</v>
      </c>
      <c r="AK116" s="878">
        <f>'[2]2023. előirányzat'!G116</f>
        <v>0</v>
      </c>
      <c r="AL116" s="878">
        <f>'[2]2024. előirányzat'!G116</f>
        <v>0</v>
      </c>
      <c r="AM116" s="881">
        <f t="shared" si="16"/>
        <v>0</v>
      </c>
      <c r="AN116" s="881">
        <f t="shared" si="17"/>
        <v>0</v>
      </c>
      <c r="AO116" s="881">
        <f t="shared" si="18"/>
        <v>0</v>
      </c>
      <c r="AP116" s="881">
        <f t="shared" si="19"/>
        <v>0</v>
      </c>
      <c r="AQ116" s="882"/>
      <c r="AR116" s="883"/>
      <c r="AS116" s="884"/>
      <c r="AT116" s="882"/>
      <c r="AU116" s="882" t="s">
        <v>780</v>
      </c>
    </row>
    <row r="117" spans="1:50" ht="30" x14ac:dyDescent="0.25">
      <c r="A117" s="885" t="s">
        <v>703</v>
      </c>
      <c r="B117" s="759" t="str">
        <f>[1]előirányzat!B115</f>
        <v>Szentgotthárd Város Önkormányzata</v>
      </c>
      <c r="C117" s="755">
        <v>9047</v>
      </c>
      <c r="D117" s="878">
        <f>'[2]2009. évi előirányzat'!M117</f>
        <v>0</v>
      </c>
      <c r="E117" s="878">
        <f>'[2]2009. évi előirányzat'!N117</f>
        <v>0</v>
      </c>
      <c r="F117" s="878">
        <f>'[2]2009. évi előirányzat'!O117</f>
        <v>0</v>
      </c>
      <c r="G117" s="878">
        <f>'[2]2010. évi előirányzat'!J117</f>
        <v>0</v>
      </c>
      <c r="H117" s="878">
        <f>'[2]2010. évi előirányzat'!K117</f>
        <v>0</v>
      </c>
      <c r="I117" s="878">
        <f>'[2]2011. évi előirányzat'!J117</f>
        <v>0</v>
      </c>
      <c r="J117" s="878">
        <f>'[2]2011. évi előirányzat'!K117</f>
        <v>0</v>
      </c>
      <c r="K117" s="878">
        <f>'[2]2012. évi előirányzat'!J117</f>
        <v>0</v>
      </c>
      <c r="L117" s="878">
        <f>'[2]2012. évi előirányzat'!K117</f>
        <v>0</v>
      </c>
      <c r="M117" s="878">
        <f>'[2]2013. előirányzat'!J117</f>
        <v>0</v>
      </c>
      <c r="N117" s="878">
        <f>'[2]2013. előirányzat'!K117</f>
        <v>0</v>
      </c>
      <c r="O117" s="878">
        <f>'[2]2014. évi előirányzat'!J117</f>
        <v>0</v>
      </c>
      <c r="P117" s="878">
        <f>'[2]2014. évi előirányzat'!K117</f>
        <v>0</v>
      </c>
      <c r="Q117" s="878">
        <f>'[2]2015. évi előirányzat'!J117</f>
        <v>0</v>
      </c>
      <c r="R117" s="878">
        <f>'[2]2015. évi előirányzat'!K117</f>
        <v>0</v>
      </c>
      <c r="S117" s="878">
        <f>'[2]2016 előirányzat'!J117</f>
        <v>0</v>
      </c>
      <c r="T117" s="878">
        <f>'[2]2016 előirányzat'!K117</f>
        <v>0</v>
      </c>
      <c r="U117" s="878">
        <f>'[2]2017. előirányzat'!J117</f>
        <v>0</v>
      </c>
      <c r="V117" s="878">
        <f>'[2]2017. előirányzat'!K117</f>
        <v>0</v>
      </c>
      <c r="W117" s="878">
        <f>'[2]2018. előirányzat'!J117</f>
        <v>0</v>
      </c>
      <c r="X117" s="878">
        <f>'[2]2018. előirányzat'!K117</f>
        <v>0</v>
      </c>
      <c r="Y117" s="878">
        <f>'[2]2019. előirányzat'!J117</f>
        <v>0</v>
      </c>
      <c r="Z117" s="878">
        <f>'[2]2019. előirányzat'!K117</f>
        <v>0</v>
      </c>
      <c r="AA117" s="878">
        <f>'[2]2020. előirányzat'!G117</f>
        <v>0</v>
      </c>
      <c r="AB117" s="879">
        <f t="shared" si="10"/>
        <v>0</v>
      </c>
      <c r="AC117" s="879">
        <f t="shared" si="11"/>
        <v>0</v>
      </c>
      <c r="AD117" s="879">
        <f t="shared" si="12"/>
        <v>0</v>
      </c>
      <c r="AE117" s="879">
        <f t="shared" si="13"/>
        <v>0</v>
      </c>
      <c r="AF117" s="880">
        <f t="shared" si="14"/>
        <v>0</v>
      </c>
      <c r="AG117" s="880">
        <f>AC117</f>
        <v>0</v>
      </c>
      <c r="AH117" s="880">
        <f t="shared" si="15"/>
        <v>0</v>
      </c>
      <c r="AI117" s="878">
        <f>'[2]2021. előirányzat'!G117</f>
        <v>0</v>
      </c>
      <c r="AJ117" s="878">
        <f>'[2]2022. előirányzat'!G117</f>
        <v>0</v>
      </c>
      <c r="AK117" s="878">
        <f>'[2]2023. előirányzat'!G117</f>
        <v>0</v>
      </c>
      <c r="AL117" s="878">
        <f>'[2]2024. előirányzat'!G117</f>
        <v>0</v>
      </c>
      <c r="AM117" s="881">
        <f t="shared" si="16"/>
        <v>0</v>
      </c>
      <c r="AN117" s="881">
        <f t="shared" si="17"/>
        <v>0</v>
      </c>
      <c r="AO117" s="881">
        <f t="shared" si="18"/>
        <v>0</v>
      </c>
      <c r="AP117" s="881">
        <f t="shared" si="19"/>
        <v>0</v>
      </c>
      <c r="AQ117" s="888"/>
      <c r="AR117" s="883">
        <f>V117+X117+Z117</f>
        <v>0</v>
      </c>
      <c r="AS117" s="884" t="s">
        <v>773</v>
      </c>
      <c r="AT117" s="882"/>
      <c r="AU117" s="882" t="s">
        <v>787</v>
      </c>
      <c r="AX117" s="891"/>
    </row>
    <row r="118" spans="1:50" ht="30" x14ac:dyDescent="0.25">
      <c r="A118" s="885" t="s">
        <v>704</v>
      </c>
      <c r="B118" s="757" t="str">
        <f>[1]előirányzat!B116</f>
        <v>Szőce Község Önkormányzata</v>
      </c>
      <c r="C118" s="755">
        <v>389</v>
      </c>
      <c r="D118" s="878">
        <f>'[2]2009. évi előirányzat'!M118</f>
        <v>0</v>
      </c>
      <c r="E118" s="878">
        <f>'[2]2009. évi előirányzat'!N118</f>
        <v>0</v>
      </c>
      <c r="F118" s="878">
        <f>'[2]2009. évi előirányzat'!O118</f>
        <v>0</v>
      </c>
      <c r="G118" s="878">
        <f>'[2]2010. évi előirányzat'!J118</f>
        <v>0</v>
      </c>
      <c r="H118" s="878">
        <f>'[2]2010. évi előirányzat'!K118</f>
        <v>0</v>
      </c>
      <c r="I118" s="878">
        <f>'[2]2011. évi előirányzat'!J118</f>
        <v>0</v>
      </c>
      <c r="J118" s="878">
        <f>'[2]2011. évi előirányzat'!K118</f>
        <v>0</v>
      </c>
      <c r="K118" s="878">
        <f>'[2]2012. évi előirányzat'!J118</f>
        <v>0</v>
      </c>
      <c r="L118" s="878">
        <f>'[2]2012. évi előirányzat'!K118</f>
        <v>0</v>
      </c>
      <c r="M118" s="878">
        <f>'[2]2013. előirányzat'!J118</f>
        <v>0</v>
      </c>
      <c r="N118" s="878">
        <f>'[2]2013. előirányzat'!K118</f>
        <v>0</v>
      </c>
      <c r="O118" s="878">
        <f>'[2]2014. évi előirányzat'!J118</f>
        <v>0</v>
      </c>
      <c r="P118" s="878">
        <f>'[2]2014. évi előirányzat'!K118</f>
        <v>0</v>
      </c>
      <c r="Q118" s="878">
        <f>'[2]2015. évi előirányzat'!J118</f>
        <v>0</v>
      </c>
      <c r="R118" s="878">
        <f>'[2]2015. évi előirányzat'!K118</f>
        <v>0</v>
      </c>
      <c r="S118" s="878">
        <f>'[2]2016 előirányzat'!J118</f>
        <v>0</v>
      </c>
      <c r="T118" s="878">
        <f>'[2]2016 előirányzat'!K118</f>
        <v>0</v>
      </c>
      <c r="U118" s="878">
        <f>'[2]2017. előirányzat'!J118</f>
        <v>0</v>
      </c>
      <c r="V118" s="878">
        <f>'[2]2017. előirányzat'!K118</f>
        <v>-194500</v>
      </c>
      <c r="W118" s="878">
        <f>'[2]2018. előirányzat'!J118</f>
        <v>0</v>
      </c>
      <c r="X118" s="878">
        <f>'[2]2018. előirányzat'!K118</f>
        <v>0</v>
      </c>
      <c r="Y118" s="878">
        <f>'[2]2019. előirányzat'!J118</f>
        <v>0</v>
      </c>
      <c r="Z118" s="878">
        <f>'[2]2019. előirányzat'!K118</f>
        <v>0</v>
      </c>
      <c r="AA118" s="878">
        <f>'[2]2020. előirányzat'!G118</f>
        <v>0</v>
      </c>
      <c r="AB118" s="879">
        <f t="shared" si="10"/>
        <v>0</v>
      </c>
      <c r="AC118" s="879">
        <f t="shared" si="11"/>
        <v>-194500</v>
      </c>
      <c r="AD118" s="879">
        <f t="shared" si="12"/>
        <v>0</v>
      </c>
      <c r="AE118" s="879">
        <f t="shared" si="13"/>
        <v>-194500</v>
      </c>
      <c r="AF118" s="880">
        <f t="shared" si="14"/>
        <v>0</v>
      </c>
      <c r="AG118" s="880">
        <f>AE118+(2*38900)+116700</f>
        <v>0</v>
      </c>
      <c r="AH118" s="880">
        <f t="shared" si="15"/>
        <v>0</v>
      </c>
      <c r="AI118" s="878">
        <f>'[2]2021. előirányzat'!G118</f>
        <v>0</v>
      </c>
      <c r="AJ118" s="878">
        <f>'[2]2022. előirányzat'!G118</f>
        <v>0</v>
      </c>
      <c r="AK118" s="878">
        <f>'[2]2023. előirányzat'!G118</f>
        <v>0</v>
      </c>
      <c r="AL118" s="878">
        <f>'[2]2024. előirányzat'!G118</f>
        <v>0</v>
      </c>
      <c r="AM118" s="881">
        <f t="shared" si="16"/>
        <v>0</v>
      </c>
      <c r="AN118" s="881">
        <f t="shared" si="17"/>
        <v>0</v>
      </c>
      <c r="AO118" s="881">
        <f t="shared" si="18"/>
        <v>0</v>
      </c>
      <c r="AP118" s="881">
        <f t="shared" si="19"/>
        <v>0</v>
      </c>
      <c r="AQ118" s="882"/>
      <c r="AR118" s="883"/>
      <c r="AS118" s="884"/>
      <c r="AT118" s="882"/>
      <c r="AU118" s="882" t="s">
        <v>781</v>
      </c>
    </row>
    <row r="119" spans="1:50" ht="30" x14ac:dyDescent="0.25">
      <c r="A119" s="754" t="s">
        <v>705</v>
      </c>
      <c r="B119" s="755" t="str">
        <f>[1]előirányzat!B117</f>
        <v>Tanakajd Község Önkormányzata</v>
      </c>
      <c r="C119" s="755">
        <v>792</v>
      </c>
      <c r="D119" s="878">
        <f>'[2]2009. évi előirányzat'!M119</f>
        <v>0</v>
      </c>
      <c r="E119" s="878">
        <f>'[2]2009. évi előirányzat'!N119</f>
        <v>0</v>
      </c>
      <c r="F119" s="878">
        <f>'[2]2009. évi előirányzat'!O119</f>
        <v>0</v>
      </c>
      <c r="G119" s="878">
        <f>'[2]2010. évi előirányzat'!J119</f>
        <v>0</v>
      </c>
      <c r="H119" s="878">
        <f>'[2]2010. évi előirányzat'!K119</f>
        <v>0</v>
      </c>
      <c r="I119" s="878">
        <f>'[2]2011. évi előirányzat'!J119</f>
        <v>0</v>
      </c>
      <c r="J119" s="878">
        <f>'[2]2011. évi előirányzat'!K119</f>
        <v>0</v>
      </c>
      <c r="K119" s="878">
        <f>'[2]2012. évi előirányzat'!J119</f>
        <v>0</v>
      </c>
      <c r="L119" s="878">
        <f>'[2]2012. évi előirányzat'!K119</f>
        <v>0</v>
      </c>
      <c r="M119" s="878">
        <f>'[2]2013. előirányzat'!J119</f>
        <v>0</v>
      </c>
      <c r="N119" s="878">
        <f>'[2]2013. előirányzat'!K119</f>
        <v>0</v>
      </c>
      <c r="O119" s="878">
        <f>'[2]2014. évi előirányzat'!J119</f>
        <v>0</v>
      </c>
      <c r="P119" s="878">
        <f>'[2]2014. évi előirányzat'!K119</f>
        <v>0</v>
      </c>
      <c r="Q119" s="878">
        <f>'[2]2015. évi előirányzat'!J119</f>
        <v>0</v>
      </c>
      <c r="R119" s="878">
        <f>'[2]2015. évi előirányzat'!K119</f>
        <v>0</v>
      </c>
      <c r="S119" s="878">
        <f>'[2]2016 előirányzat'!J119</f>
        <v>0</v>
      </c>
      <c r="T119" s="878">
        <f>'[2]2016 előirányzat'!K119</f>
        <v>0</v>
      </c>
      <c r="U119" s="878">
        <f>'[2]2017. előirányzat'!J119</f>
        <v>0</v>
      </c>
      <c r="V119" s="878">
        <f>'[2]2017. előirányzat'!K119</f>
        <v>0</v>
      </c>
      <c r="W119" s="878">
        <f>'[2]2018. előirányzat'!J119</f>
        <v>0</v>
      </c>
      <c r="X119" s="878">
        <f>'[2]2018. előirányzat'!K119</f>
        <v>0</v>
      </c>
      <c r="Y119" s="878">
        <f>'[2]2019. előirányzat'!J119</f>
        <v>0</v>
      </c>
      <c r="Z119" s="878">
        <f>'[2]2019. előirányzat'!K119</f>
        <v>0</v>
      </c>
      <c r="AA119" s="878">
        <f>'[2]2020. előirányzat'!G119</f>
        <v>0</v>
      </c>
      <c r="AB119" s="879">
        <f t="shared" si="10"/>
        <v>0</v>
      </c>
      <c r="AC119" s="879">
        <f t="shared" si="11"/>
        <v>0</v>
      </c>
      <c r="AD119" s="879">
        <f t="shared" si="12"/>
        <v>0</v>
      </c>
      <c r="AE119" s="879">
        <f t="shared" si="13"/>
        <v>0</v>
      </c>
      <c r="AF119" s="880">
        <f t="shared" si="14"/>
        <v>0</v>
      </c>
      <c r="AG119" s="880">
        <f>AC119</f>
        <v>0</v>
      </c>
      <c r="AH119" s="880">
        <f t="shared" si="15"/>
        <v>0</v>
      </c>
      <c r="AI119" s="878">
        <f>'[2]2021. előirányzat'!G119</f>
        <v>0</v>
      </c>
      <c r="AJ119" s="878">
        <f>'[2]2022. előirányzat'!G119</f>
        <v>0</v>
      </c>
      <c r="AK119" s="878">
        <f>'[2]2023. előirányzat'!G119</f>
        <v>0</v>
      </c>
      <c r="AL119" s="878">
        <f>'[2]2024. előirányzat'!G119</f>
        <v>0</v>
      </c>
      <c r="AM119" s="881">
        <f t="shared" si="16"/>
        <v>0</v>
      </c>
      <c r="AN119" s="881">
        <f t="shared" si="17"/>
        <v>0</v>
      </c>
      <c r="AO119" s="881">
        <f t="shared" si="18"/>
        <v>0</v>
      </c>
      <c r="AP119" s="881">
        <f t="shared" si="19"/>
        <v>0</v>
      </c>
      <c r="AQ119" s="882"/>
      <c r="AR119" s="883">
        <f>V119+X119+Z119</f>
        <v>0</v>
      </c>
      <c r="AS119" s="884">
        <f>AP119-AR119</f>
        <v>0</v>
      </c>
      <c r="AT119" s="882"/>
      <c r="AU119" s="882" t="s">
        <v>788</v>
      </c>
    </row>
    <row r="120" spans="1:50" ht="45" x14ac:dyDescent="0.25">
      <c r="A120" s="885" t="s">
        <v>706</v>
      </c>
      <c r="B120" s="759" t="str">
        <f>[1]előirányzat!B118</f>
        <v>Táplánszentkereszt Község Önkormányzata</v>
      </c>
      <c r="C120" s="755">
        <v>2484</v>
      </c>
      <c r="D120" s="878">
        <f>'[2]2009. évi előirányzat'!M120</f>
        <v>0</v>
      </c>
      <c r="E120" s="878">
        <f>'[2]2009. évi előirányzat'!N120</f>
        <v>0</v>
      </c>
      <c r="F120" s="878">
        <f>'[2]2009. évi előirányzat'!O120</f>
        <v>0</v>
      </c>
      <c r="G120" s="878">
        <f>'[2]2010. évi előirányzat'!J120</f>
        <v>0</v>
      </c>
      <c r="H120" s="878">
        <f>'[2]2010. évi előirányzat'!K120</f>
        <v>0</v>
      </c>
      <c r="I120" s="878">
        <f>'[2]2011. évi előirányzat'!J120</f>
        <v>0</v>
      </c>
      <c r="J120" s="878">
        <f>'[2]2011. évi előirányzat'!K120</f>
        <v>0</v>
      </c>
      <c r="K120" s="878">
        <f>'[2]2012. évi előirányzat'!J120</f>
        <v>0</v>
      </c>
      <c r="L120" s="878">
        <f>'[2]2012. évi előirányzat'!K120</f>
        <v>0</v>
      </c>
      <c r="M120" s="878">
        <f>'[2]2013. előirányzat'!J120</f>
        <v>0</v>
      </c>
      <c r="N120" s="878">
        <f>'[2]2013. előirányzat'!K120</f>
        <v>0</v>
      </c>
      <c r="O120" s="878">
        <f>'[2]2014. évi előirányzat'!J120</f>
        <v>0</v>
      </c>
      <c r="P120" s="878">
        <f>'[2]2014. évi előirányzat'!K120</f>
        <v>0</v>
      </c>
      <c r="Q120" s="878">
        <f>'[2]2015. évi előirányzat'!J120</f>
        <v>0</v>
      </c>
      <c r="R120" s="878">
        <f>'[2]2015. évi előirányzat'!K120</f>
        <v>0</v>
      </c>
      <c r="S120" s="878">
        <f>'[2]2016 előirányzat'!J120</f>
        <v>0</v>
      </c>
      <c r="T120" s="878">
        <f>'[2]2016 előirányzat'!K120</f>
        <v>0</v>
      </c>
      <c r="U120" s="878">
        <f>'[2]2017. előirányzat'!J120</f>
        <v>0</v>
      </c>
      <c r="V120" s="878">
        <f>'[2]2017. előirányzat'!K120</f>
        <v>0</v>
      </c>
      <c r="W120" s="878">
        <f>'[2]2018. előirányzat'!J120</f>
        <v>0</v>
      </c>
      <c r="X120" s="878">
        <f>'[2]2018. előirányzat'!K120</f>
        <v>0</v>
      </c>
      <c r="Y120" s="878">
        <f>'[2]2019. előirányzat'!J120</f>
        <v>0</v>
      </c>
      <c r="Z120" s="878">
        <f>'[2]2019. előirányzat'!K120</f>
        <v>0</v>
      </c>
      <c r="AA120" s="878">
        <f>'[2]2020. előirányzat'!G120</f>
        <v>0</v>
      </c>
      <c r="AB120" s="879">
        <f t="shared" si="10"/>
        <v>0</v>
      </c>
      <c r="AC120" s="879">
        <f t="shared" si="11"/>
        <v>0</v>
      </c>
      <c r="AD120" s="879">
        <f t="shared" si="12"/>
        <v>0</v>
      </c>
      <c r="AE120" s="879">
        <f t="shared" si="13"/>
        <v>0</v>
      </c>
      <c r="AF120" s="880">
        <f t="shared" si="14"/>
        <v>0</v>
      </c>
      <c r="AG120" s="880">
        <f>AC120</f>
        <v>0</v>
      </c>
      <c r="AH120" s="880">
        <f t="shared" si="15"/>
        <v>0</v>
      </c>
      <c r="AI120" s="878">
        <f>'[2]2021. előirányzat'!G120</f>
        <v>0</v>
      </c>
      <c r="AJ120" s="878">
        <f>'[2]2022. előirányzat'!G120</f>
        <v>0</v>
      </c>
      <c r="AK120" s="878">
        <f>'[2]2023. előirányzat'!G120</f>
        <v>0</v>
      </c>
      <c r="AL120" s="878">
        <f>'[2]2024. előirányzat'!G120</f>
        <v>0</v>
      </c>
      <c r="AM120" s="881">
        <f t="shared" si="16"/>
        <v>0</v>
      </c>
      <c r="AN120" s="881">
        <f t="shared" si="17"/>
        <v>0</v>
      </c>
      <c r="AO120" s="881">
        <f t="shared" si="18"/>
        <v>0</v>
      </c>
      <c r="AP120" s="881">
        <f t="shared" si="19"/>
        <v>0</v>
      </c>
      <c r="AQ120" s="888" t="s">
        <v>790</v>
      </c>
      <c r="AR120" s="883">
        <f>V120+X120+Z120</f>
        <v>0</v>
      </c>
      <c r="AS120" s="884">
        <f>AP120-AR120</f>
        <v>0</v>
      </c>
      <c r="AT120" s="882"/>
      <c r="AU120" s="882" t="s">
        <v>788</v>
      </c>
      <c r="AX120" s="891"/>
    </row>
    <row r="121" spans="1:50" ht="30" x14ac:dyDescent="0.25">
      <c r="A121" s="885" t="s">
        <v>707</v>
      </c>
      <c r="B121" s="757" t="str">
        <f>[1]előirányzat!B119</f>
        <v>Telekes Község Önkormányzata</v>
      </c>
      <c r="C121" s="755">
        <v>547</v>
      </c>
      <c r="D121" s="878">
        <f>'[2]2009. évi előirányzat'!M121</f>
        <v>0</v>
      </c>
      <c r="E121" s="878">
        <f>'[2]2009. évi előirányzat'!N121</f>
        <v>0</v>
      </c>
      <c r="F121" s="878">
        <f>'[2]2009. évi előirányzat'!O121</f>
        <v>0</v>
      </c>
      <c r="G121" s="878">
        <f>'[2]2010. évi előirányzat'!J121</f>
        <v>0</v>
      </c>
      <c r="H121" s="878">
        <f>'[2]2010. évi előirányzat'!K121</f>
        <v>0</v>
      </c>
      <c r="I121" s="878">
        <f>'[2]2011. évi előirányzat'!J121</f>
        <v>0</v>
      </c>
      <c r="J121" s="878">
        <f>'[2]2011. évi előirányzat'!K121</f>
        <v>0</v>
      </c>
      <c r="K121" s="878">
        <f>'[2]2012. évi előirányzat'!J121</f>
        <v>0</v>
      </c>
      <c r="L121" s="878">
        <f>'[2]2012. évi előirányzat'!K121</f>
        <v>0</v>
      </c>
      <c r="M121" s="878">
        <f>'[2]2013. előirányzat'!J121</f>
        <v>0</v>
      </c>
      <c r="N121" s="878">
        <f>'[2]2013. előirányzat'!K121</f>
        <v>0</v>
      </c>
      <c r="O121" s="878">
        <f>'[2]2014. évi előirányzat'!J121</f>
        <v>0</v>
      </c>
      <c r="P121" s="878">
        <f>'[2]2014. évi előirányzat'!K121</f>
        <v>0</v>
      </c>
      <c r="Q121" s="878">
        <f>'[2]2015. évi előirányzat'!J121</f>
        <v>0</v>
      </c>
      <c r="R121" s="878">
        <f>'[2]2015. évi előirányzat'!K121</f>
        <v>0</v>
      </c>
      <c r="S121" s="878">
        <f>'[2]2016 előirányzat'!J121</f>
        <v>0</v>
      </c>
      <c r="T121" s="878">
        <f>'[2]2016 előirányzat'!K121</f>
        <v>0</v>
      </c>
      <c r="U121" s="878">
        <f>'[2]2017. előirányzat'!J121</f>
        <v>0</v>
      </c>
      <c r="V121" s="878">
        <f>'[2]2017. előirányzat'!K121</f>
        <v>-273500</v>
      </c>
      <c r="W121" s="878">
        <f>'[2]2018. előirányzat'!J121</f>
        <v>0</v>
      </c>
      <c r="X121" s="878">
        <f>'[2]2018. előirányzat'!K121</f>
        <v>0</v>
      </c>
      <c r="Y121" s="878">
        <f>'[2]2019. előirányzat'!J121</f>
        <v>0</v>
      </c>
      <c r="Z121" s="878">
        <f>'[2]2019. előirányzat'!K121</f>
        <v>0</v>
      </c>
      <c r="AA121" s="878">
        <f>'[2]2020. előirányzat'!G121</f>
        <v>0</v>
      </c>
      <c r="AB121" s="879">
        <f t="shared" si="10"/>
        <v>0</v>
      </c>
      <c r="AC121" s="879">
        <f t="shared" si="11"/>
        <v>-273500</v>
      </c>
      <c r="AD121" s="879">
        <f t="shared" si="12"/>
        <v>0</v>
      </c>
      <c r="AE121" s="879">
        <f>AB121+AC121+AD121</f>
        <v>-273500</v>
      </c>
      <c r="AF121" s="880">
        <f t="shared" si="14"/>
        <v>0</v>
      </c>
      <c r="AG121" s="880">
        <v>0</v>
      </c>
      <c r="AH121" s="880">
        <f t="shared" si="15"/>
        <v>0</v>
      </c>
      <c r="AI121" s="878">
        <f>'[2]2021. előirányzat'!G121</f>
        <v>0</v>
      </c>
      <c r="AJ121" s="878">
        <f>'[2]2022. előirányzat'!G121</f>
        <v>0</v>
      </c>
      <c r="AK121" s="878">
        <f>'[2]2023. előirányzat'!G121</f>
        <v>0</v>
      </c>
      <c r="AL121" s="878">
        <f>'[2]2024. előirányzat'!G121</f>
        <v>0</v>
      </c>
      <c r="AM121" s="881">
        <f t="shared" si="16"/>
        <v>0</v>
      </c>
      <c r="AN121" s="881">
        <f t="shared" si="17"/>
        <v>0</v>
      </c>
      <c r="AO121" s="881">
        <f t="shared" si="18"/>
        <v>0</v>
      </c>
      <c r="AP121" s="881">
        <f t="shared" si="19"/>
        <v>0</v>
      </c>
      <c r="AQ121" s="882"/>
      <c r="AR121" s="883"/>
      <c r="AS121" s="884"/>
      <c r="AT121" s="882"/>
      <c r="AU121" s="882" t="s">
        <v>780</v>
      </c>
      <c r="AX121" s="403"/>
    </row>
    <row r="122" spans="1:50" ht="30" x14ac:dyDescent="0.25">
      <c r="A122" s="754" t="s">
        <v>708</v>
      </c>
      <c r="B122" s="755" t="str">
        <f>[1]előirányzat!B120</f>
        <v>Torony Község Önkormányzata</v>
      </c>
      <c r="C122" s="755">
        <v>1721</v>
      </c>
      <c r="D122" s="878">
        <f>'[2]2009. évi előirányzat'!M122</f>
        <v>0</v>
      </c>
      <c r="E122" s="878">
        <f>'[2]2009. évi előirányzat'!N122</f>
        <v>0</v>
      </c>
      <c r="F122" s="878">
        <f>'[2]2009. évi előirányzat'!O122</f>
        <v>0</v>
      </c>
      <c r="G122" s="878">
        <f>'[2]2010. évi előirányzat'!J122</f>
        <v>0</v>
      </c>
      <c r="H122" s="878">
        <f>'[2]2010. évi előirányzat'!K122</f>
        <v>0</v>
      </c>
      <c r="I122" s="878">
        <f>'[2]2011. évi előirányzat'!J122</f>
        <v>0</v>
      </c>
      <c r="J122" s="878">
        <f>'[2]2011. évi előirányzat'!K122</f>
        <v>0</v>
      </c>
      <c r="K122" s="878">
        <f>'[2]2012. évi előirányzat'!J122</f>
        <v>0</v>
      </c>
      <c r="L122" s="878">
        <f>'[2]2012. évi előirányzat'!K122</f>
        <v>0</v>
      </c>
      <c r="M122" s="878">
        <f>'[2]2013. előirányzat'!J122</f>
        <v>0</v>
      </c>
      <c r="N122" s="878">
        <f>'[2]2013. előirányzat'!K122</f>
        <v>0</v>
      </c>
      <c r="O122" s="878">
        <f>'[2]2014. évi előirányzat'!J122</f>
        <v>0</v>
      </c>
      <c r="P122" s="878">
        <f>'[2]2014. évi előirányzat'!K122</f>
        <v>0</v>
      </c>
      <c r="Q122" s="878">
        <f>'[2]2015. évi előirányzat'!J122</f>
        <v>0</v>
      </c>
      <c r="R122" s="878">
        <f>'[2]2015. évi előirányzat'!K122</f>
        <v>379600</v>
      </c>
      <c r="S122" s="878">
        <f>'[2]2016 előirányzat'!J122</f>
        <v>172100.00000000003</v>
      </c>
      <c r="T122" s="878">
        <f>'[2]2016 előirányzat'!K122</f>
        <v>860500</v>
      </c>
      <c r="U122" s="878">
        <f>'[2]2017. előirányzat'!J122</f>
        <v>172100.00000000003</v>
      </c>
      <c r="V122" s="878">
        <f>'[2]2017. előirányzat'!K122</f>
        <v>860500</v>
      </c>
      <c r="W122" s="878">
        <f>'[2]2018. előirányzat'!J122</f>
        <v>172100.00000000003</v>
      </c>
      <c r="X122" s="878">
        <f>'[2]2018. előirányzat'!K122</f>
        <v>860500</v>
      </c>
      <c r="Y122" s="878">
        <f>'[2]2019. előirányzat'!J122</f>
        <v>172100.00000000003</v>
      </c>
      <c r="Z122" s="878">
        <f>'[2]2019. előirányzat'!K122</f>
        <v>860500</v>
      </c>
      <c r="AA122" s="878">
        <f>'[2]2020. előirányzat'!G122</f>
        <v>172100.00000000003</v>
      </c>
      <c r="AB122" s="879">
        <f t="shared" si="10"/>
        <v>860500.00000000012</v>
      </c>
      <c r="AC122" s="879">
        <f t="shared" si="11"/>
        <v>3821600</v>
      </c>
      <c r="AD122" s="879">
        <f t="shared" si="12"/>
        <v>0</v>
      </c>
      <c r="AE122" s="879">
        <f t="shared" si="13"/>
        <v>4682100</v>
      </c>
      <c r="AF122" s="880">
        <f t="shared" si="14"/>
        <v>860500.00000000012</v>
      </c>
      <c r="AG122" s="880">
        <f>AC122</f>
        <v>3821600</v>
      </c>
      <c r="AH122" s="880">
        <f t="shared" si="15"/>
        <v>4682100</v>
      </c>
      <c r="AI122" s="878">
        <f>'[2]2021. előirányzat'!G122</f>
        <v>172100.00000000003</v>
      </c>
      <c r="AJ122" s="878">
        <f>'[2]2022. előirányzat'!G122</f>
        <v>172100.00000000003</v>
      </c>
      <c r="AK122" s="878">
        <f>'[2]2023. előirányzat'!G122</f>
        <v>172100.00000000003</v>
      </c>
      <c r="AL122" s="878">
        <f>'[2]2024. előirányzat'!G122</f>
        <v>0</v>
      </c>
      <c r="AM122" s="881">
        <f t="shared" si="16"/>
        <v>1376800.0000000002</v>
      </c>
      <c r="AN122" s="881">
        <f t="shared" si="17"/>
        <v>3821600</v>
      </c>
      <c r="AO122" s="881">
        <f t="shared" si="18"/>
        <v>0</v>
      </c>
      <c r="AP122" s="881">
        <f t="shared" si="19"/>
        <v>5198400</v>
      </c>
      <c r="AQ122" s="882"/>
      <c r="AR122" s="883">
        <f>V122+X122+Z122</f>
        <v>2581500</v>
      </c>
      <c r="AS122" s="884">
        <f>AP122-AR122</f>
        <v>2616900</v>
      </c>
      <c r="AT122" s="882"/>
      <c r="AU122" s="882" t="s">
        <v>788</v>
      </c>
    </row>
    <row r="123" spans="1:50" ht="30" x14ac:dyDescent="0.25">
      <c r="A123" s="885" t="s">
        <v>709</v>
      </c>
      <c r="B123" s="757" t="str">
        <f>[1]előirányzat!B121</f>
        <v>Vasalja Község Önkormányzata</v>
      </c>
      <c r="C123" s="755">
        <v>344</v>
      </c>
      <c r="D123" s="878">
        <f>'[2]2009. évi előirányzat'!M123</f>
        <v>0</v>
      </c>
      <c r="E123" s="878">
        <f>'[2]2009. évi előirányzat'!N123</f>
        <v>0</v>
      </c>
      <c r="F123" s="878">
        <f>'[2]2009. évi előirányzat'!O123</f>
        <v>0</v>
      </c>
      <c r="G123" s="878">
        <f>'[2]2010. évi előirányzat'!J123</f>
        <v>0</v>
      </c>
      <c r="H123" s="878">
        <f>'[2]2010. évi előirányzat'!K123</f>
        <v>0</v>
      </c>
      <c r="I123" s="878">
        <f>'[2]2011. évi előirányzat'!J123</f>
        <v>0</v>
      </c>
      <c r="J123" s="878">
        <f>'[2]2011. évi előirányzat'!K123</f>
        <v>0</v>
      </c>
      <c r="K123" s="878">
        <f>'[2]2012. évi előirányzat'!J123</f>
        <v>0</v>
      </c>
      <c r="L123" s="878">
        <f>'[2]2012. évi előirányzat'!K123</f>
        <v>0</v>
      </c>
      <c r="M123" s="878">
        <f>'[2]2013. előirányzat'!J123</f>
        <v>0</v>
      </c>
      <c r="N123" s="878">
        <f>'[2]2013. előirányzat'!K123</f>
        <v>0</v>
      </c>
      <c r="O123" s="878">
        <f>'[2]2014. évi előirányzat'!J123</f>
        <v>0</v>
      </c>
      <c r="P123" s="878">
        <f>'[2]2014. évi előirányzat'!K123</f>
        <v>0</v>
      </c>
      <c r="Q123" s="878">
        <f>'[2]2015. évi előirányzat'!J123</f>
        <v>0</v>
      </c>
      <c r="R123" s="878">
        <f>'[2]2015. évi előirányzat'!K123</f>
        <v>0</v>
      </c>
      <c r="S123" s="878">
        <f>'[2]2016 előirányzat'!J123</f>
        <v>0</v>
      </c>
      <c r="T123" s="878">
        <f>'[2]2016 előirányzat'!K123</f>
        <v>0</v>
      </c>
      <c r="U123" s="878">
        <f>'[2]2017. előirányzat'!J123</f>
        <v>0</v>
      </c>
      <c r="V123" s="878">
        <f>'[2]2017. előirányzat'!K123</f>
        <v>-172000</v>
      </c>
      <c r="W123" s="878">
        <f>'[2]2018. előirányzat'!J123</f>
        <v>0</v>
      </c>
      <c r="X123" s="878">
        <f>'[2]2018. előirányzat'!K123</f>
        <v>0</v>
      </c>
      <c r="Y123" s="878">
        <f>'[2]2019. előirányzat'!J123</f>
        <v>0</v>
      </c>
      <c r="Z123" s="878">
        <f>'[2]2019. előirányzat'!K123</f>
        <v>0</v>
      </c>
      <c r="AA123" s="878">
        <f>'[2]2020. előirányzat'!G123</f>
        <v>0</v>
      </c>
      <c r="AB123" s="879">
        <f t="shared" si="10"/>
        <v>0</v>
      </c>
      <c r="AC123" s="879">
        <f t="shared" si="11"/>
        <v>-172000</v>
      </c>
      <c r="AD123" s="879">
        <f t="shared" si="12"/>
        <v>0</v>
      </c>
      <c r="AE123" s="879">
        <f t="shared" si="13"/>
        <v>-172000</v>
      </c>
      <c r="AF123" s="880">
        <f t="shared" si="14"/>
        <v>0</v>
      </c>
      <c r="AG123" s="880">
        <f>AE123+(3*34400)+68800</f>
        <v>0</v>
      </c>
      <c r="AH123" s="880">
        <f t="shared" si="15"/>
        <v>0</v>
      </c>
      <c r="AI123" s="878">
        <f>'[2]2021. előirányzat'!G123</f>
        <v>0</v>
      </c>
      <c r="AJ123" s="878">
        <f>'[2]2022. előirányzat'!G123</f>
        <v>0</v>
      </c>
      <c r="AK123" s="878">
        <f>'[2]2023. előirányzat'!G123</f>
        <v>0</v>
      </c>
      <c r="AL123" s="878">
        <f>'[2]2024. előirányzat'!G123</f>
        <v>0</v>
      </c>
      <c r="AM123" s="881">
        <f t="shared" si="16"/>
        <v>0</v>
      </c>
      <c r="AN123" s="881">
        <f t="shared" si="17"/>
        <v>0</v>
      </c>
      <c r="AO123" s="881">
        <f t="shared" si="18"/>
        <v>0</v>
      </c>
      <c r="AP123" s="881">
        <f t="shared" si="19"/>
        <v>0</v>
      </c>
      <c r="AQ123" s="882"/>
      <c r="AR123" s="883"/>
      <c r="AS123" s="884"/>
      <c r="AT123" s="882"/>
      <c r="AU123" s="882" t="s">
        <v>786</v>
      </c>
    </row>
    <row r="124" spans="1:50" ht="30" x14ac:dyDescent="0.25">
      <c r="A124" s="885" t="s">
        <v>710</v>
      </c>
      <c r="B124" s="757" t="str">
        <f>[1]előirányzat!B122</f>
        <v>Vasasszonyfa Község Önkormányzata</v>
      </c>
      <c r="C124" s="755">
        <v>375</v>
      </c>
      <c r="D124" s="878">
        <f>'[2]2009. évi előirányzat'!M124</f>
        <v>0</v>
      </c>
      <c r="E124" s="878">
        <f>'[2]2009. évi előirányzat'!N124</f>
        <v>0</v>
      </c>
      <c r="F124" s="878">
        <f>'[2]2009. évi előirányzat'!O124</f>
        <v>0</v>
      </c>
      <c r="G124" s="878">
        <f>'[2]2010. évi előirányzat'!J124</f>
        <v>0</v>
      </c>
      <c r="H124" s="878">
        <f>'[2]2010. évi előirányzat'!K124</f>
        <v>0</v>
      </c>
      <c r="I124" s="878">
        <f>'[2]2011. évi előirányzat'!J124</f>
        <v>0</v>
      </c>
      <c r="J124" s="878">
        <f>'[2]2011. évi előirányzat'!K124</f>
        <v>0</v>
      </c>
      <c r="K124" s="878">
        <f>'[2]2012. évi előirányzat'!J124</f>
        <v>0</v>
      </c>
      <c r="L124" s="878">
        <f>'[2]2012. évi előirányzat'!K124</f>
        <v>0</v>
      </c>
      <c r="M124" s="878">
        <f>'[2]2013. előirányzat'!J124</f>
        <v>0</v>
      </c>
      <c r="N124" s="878">
        <f>'[2]2013. előirányzat'!K124</f>
        <v>0</v>
      </c>
      <c r="O124" s="878">
        <f>'[2]2014. évi előirányzat'!J124</f>
        <v>0</v>
      </c>
      <c r="P124" s="878">
        <f>'[2]2014. évi előirányzat'!K124</f>
        <v>0</v>
      </c>
      <c r="Q124" s="878">
        <f>'[2]2015. évi előirányzat'!J124</f>
        <v>0</v>
      </c>
      <c r="R124" s="878">
        <f>'[2]2015. évi előirányzat'!K124</f>
        <v>0</v>
      </c>
      <c r="S124" s="878">
        <f>'[2]2016 előirányzat'!J124</f>
        <v>0</v>
      </c>
      <c r="T124" s="878">
        <f>'[2]2016 előirányzat'!K124</f>
        <v>0</v>
      </c>
      <c r="U124" s="878">
        <f>'[2]2017. előirányzat'!J124</f>
        <v>0</v>
      </c>
      <c r="V124" s="878">
        <f>'[2]2017. előirányzat'!K124</f>
        <v>-187500</v>
      </c>
      <c r="W124" s="878">
        <f>'[2]2018. előirányzat'!J124</f>
        <v>0</v>
      </c>
      <c r="X124" s="878">
        <f>'[2]2018. előirányzat'!K124</f>
        <v>0</v>
      </c>
      <c r="Y124" s="878">
        <f>'[2]2019. előirányzat'!J124</f>
        <v>0</v>
      </c>
      <c r="Z124" s="878">
        <f>'[2]2019. előirányzat'!K124</f>
        <v>0</v>
      </c>
      <c r="AA124" s="878">
        <f>'[2]2020. előirányzat'!G124</f>
        <v>0</v>
      </c>
      <c r="AB124" s="879">
        <f t="shared" si="10"/>
        <v>0</v>
      </c>
      <c r="AC124" s="879">
        <f t="shared" si="11"/>
        <v>-187500</v>
      </c>
      <c r="AD124" s="879">
        <f t="shared" si="12"/>
        <v>0</v>
      </c>
      <c r="AE124" s="879">
        <f t="shared" si="13"/>
        <v>-187500</v>
      </c>
      <c r="AF124" s="880">
        <f t="shared" si="14"/>
        <v>0</v>
      </c>
      <c r="AG124" s="880">
        <f>AE124+(3*37500)+75000</f>
        <v>0</v>
      </c>
      <c r="AH124" s="880">
        <f t="shared" si="15"/>
        <v>0</v>
      </c>
      <c r="AI124" s="878">
        <f>'[2]2021. előirányzat'!G124</f>
        <v>0</v>
      </c>
      <c r="AJ124" s="878">
        <f>'[2]2022. előirányzat'!G124</f>
        <v>0</v>
      </c>
      <c r="AK124" s="878">
        <f>'[2]2023. előirányzat'!G124</f>
        <v>0</v>
      </c>
      <c r="AL124" s="878">
        <f>'[2]2024. előirányzat'!G124</f>
        <v>0</v>
      </c>
      <c r="AM124" s="881">
        <f t="shared" si="16"/>
        <v>0</v>
      </c>
      <c r="AN124" s="881">
        <f t="shared" si="17"/>
        <v>0</v>
      </c>
      <c r="AO124" s="881">
        <f t="shared" si="18"/>
        <v>0</v>
      </c>
      <c r="AP124" s="881">
        <f t="shared" si="19"/>
        <v>0</v>
      </c>
      <c r="AQ124" s="882"/>
      <c r="AR124" s="883"/>
      <c r="AS124" s="884"/>
      <c r="AT124" s="882"/>
      <c r="AU124" s="882" t="s">
        <v>788</v>
      </c>
    </row>
    <row r="125" spans="1:50" ht="30" x14ac:dyDescent="0.25">
      <c r="A125" s="597" t="s">
        <v>711</v>
      </c>
      <c r="B125" s="758" t="str">
        <f>[1]előirányzat!B123</f>
        <v>Vasegerszeg Község Önkormányzata</v>
      </c>
      <c r="C125" s="597"/>
      <c r="D125" s="597">
        <f>'[2]2009. évi előirányzat'!M125</f>
        <v>0</v>
      </c>
      <c r="E125" s="597">
        <f>'[2]2009. évi előirányzat'!N125</f>
        <v>0</v>
      </c>
      <c r="F125" s="597">
        <f>'[2]2009. évi előirányzat'!O125</f>
        <v>0</v>
      </c>
      <c r="G125" s="597">
        <f>'[2]2010. évi előirányzat'!J125</f>
        <v>0</v>
      </c>
      <c r="H125" s="597">
        <f>'[2]2010. évi előirányzat'!K125</f>
        <v>0</v>
      </c>
      <c r="I125" s="597">
        <f>'[2]2011. évi előirányzat'!J125</f>
        <v>0</v>
      </c>
      <c r="J125" s="597">
        <f>'[2]2011. évi előirányzat'!K125</f>
        <v>0</v>
      </c>
      <c r="K125" s="597">
        <f>'[2]2012. évi előirányzat'!J125</f>
        <v>0</v>
      </c>
      <c r="L125" s="597">
        <f>'[2]2012. évi előirányzat'!K125</f>
        <v>0</v>
      </c>
      <c r="M125" s="597">
        <f>'[2]2013. előirányzat'!J125</f>
        <v>0</v>
      </c>
      <c r="N125" s="597">
        <f>'[2]2013. előirányzat'!K125</f>
        <v>0</v>
      </c>
      <c r="O125" s="597">
        <f>'[2]2014. évi előirányzat'!J125</f>
        <v>0</v>
      </c>
      <c r="P125" s="597">
        <f>'[2]2014. évi előirányzat'!K125</f>
        <v>0</v>
      </c>
      <c r="Q125" s="597">
        <f>'[2]2015. évi előirányzat'!J125</f>
        <v>0</v>
      </c>
      <c r="R125" s="597">
        <f>'[2]2015. évi előirányzat'!K125</f>
        <v>0</v>
      </c>
      <c r="S125" s="597">
        <f>'[2]2016 előirányzat'!J125</f>
        <v>0</v>
      </c>
      <c r="T125" s="597">
        <f>'[2]2016 előirányzat'!K125</f>
        <v>0</v>
      </c>
      <c r="U125" s="597">
        <f>'[2]2017. előirányzat'!J125</f>
        <v>0</v>
      </c>
      <c r="V125" s="597">
        <f>'[2]2017. előirányzat'!K125</f>
        <v>0</v>
      </c>
      <c r="W125" s="597">
        <f>'[2]2018. előirányzat'!J125</f>
        <v>0</v>
      </c>
      <c r="X125" s="597">
        <f>'[2]2018. előirányzat'!K125</f>
        <v>0</v>
      </c>
      <c r="Y125" s="597">
        <f>'[2]2019. előirányzat'!J125</f>
        <v>0</v>
      </c>
      <c r="Z125" s="597">
        <f>'[2]2019. előirányzat'!K125</f>
        <v>0</v>
      </c>
      <c r="AA125" s="597">
        <f>'[2]2020. előirányzat'!G125</f>
        <v>0</v>
      </c>
      <c r="AB125" s="597">
        <f t="shared" si="10"/>
        <v>0</v>
      </c>
      <c r="AC125" s="597">
        <f t="shared" si="11"/>
        <v>0</v>
      </c>
      <c r="AD125" s="597">
        <f t="shared" si="12"/>
        <v>0</v>
      </c>
      <c r="AE125" s="597">
        <f t="shared" si="13"/>
        <v>0</v>
      </c>
      <c r="AF125" s="597"/>
      <c r="AG125" s="597"/>
      <c r="AH125" s="886">
        <f t="shared" si="15"/>
        <v>0</v>
      </c>
      <c r="AI125" s="887">
        <f>'[2]2021. előirányzat'!G125</f>
        <v>0</v>
      </c>
      <c r="AJ125" s="887">
        <f>'[2]2022. előirányzat'!G125</f>
        <v>0</v>
      </c>
      <c r="AK125" s="887">
        <f>'[2]2023. előirányzat'!G125</f>
        <v>0</v>
      </c>
      <c r="AL125" s="887">
        <f>'[2]2024. előirányzat'!G125</f>
        <v>0</v>
      </c>
      <c r="AM125" s="887">
        <f t="shared" si="16"/>
        <v>0</v>
      </c>
      <c r="AN125" s="886">
        <f t="shared" si="17"/>
        <v>0</v>
      </c>
      <c r="AO125" s="886">
        <f t="shared" si="18"/>
        <v>0</v>
      </c>
      <c r="AP125" s="886">
        <f t="shared" si="19"/>
        <v>0</v>
      </c>
      <c r="AQ125" s="882"/>
      <c r="AR125" s="883"/>
      <c r="AS125" s="884"/>
      <c r="AT125" s="882"/>
      <c r="AU125" s="882"/>
    </row>
    <row r="126" spans="1:50" ht="30" x14ac:dyDescent="0.25">
      <c r="A126" s="885" t="s">
        <v>712</v>
      </c>
      <c r="B126" s="757" t="str">
        <f>[1]előirányzat!B124</f>
        <v>Vassurány Község Önkormányzata</v>
      </c>
      <c r="C126" s="755">
        <v>844</v>
      </c>
      <c r="D126" s="878">
        <f>'[2]2009. évi előirányzat'!M126</f>
        <v>0</v>
      </c>
      <c r="E126" s="878">
        <f>'[2]2009. évi előirányzat'!N126</f>
        <v>0</v>
      </c>
      <c r="F126" s="878">
        <f>'[2]2009. évi előirányzat'!O126</f>
        <v>0</v>
      </c>
      <c r="G126" s="878">
        <f>'[2]2010. évi előirányzat'!J126</f>
        <v>0</v>
      </c>
      <c r="H126" s="878">
        <f>'[2]2010. évi előirányzat'!K126</f>
        <v>0</v>
      </c>
      <c r="I126" s="878">
        <f>'[2]2011. évi előirányzat'!J126</f>
        <v>0</v>
      </c>
      <c r="J126" s="878">
        <f>'[2]2011. évi előirányzat'!K126</f>
        <v>0</v>
      </c>
      <c r="K126" s="878">
        <f>'[2]2012. évi előirányzat'!J126</f>
        <v>0</v>
      </c>
      <c r="L126" s="878">
        <f>'[2]2012. évi előirányzat'!K126</f>
        <v>0</v>
      </c>
      <c r="M126" s="878">
        <f>'[2]2013. előirányzat'!J126</f>
        <v>0</v>
      </c>
      <c r="N126" s="878">
        <f>'[2]2013. előirányzat'!K126</f>
        <v>0</v>
      </c>
      <c r="O126" s="878">
        <f>'[2]2014. évi előirányzat'!J126</f>
        <v>0</v>
      </c>
      <c r="P126" s="878">
        <f>'[2]2014. évi előirányzat'!K126</f>
        <v>0</v>
      </c>
      <c r="Q126" s="878">
        <f>'[2]2015. évi előirányzat'!J126</f>
        <v>0</v>
      </c>
      <c r="R126" s="878">
        <f>'[2]2015. évi előirányzat'!K126</f>
        <v>0</v>
      </c>
      <c r="S126" s="878">
        <f>'[2]2016 előirányzat'!J126</f>
        <v>0</v>
      </c>
      <c r="T126" s="878">
        <f>'[2]2016 előirányzat'!K126</f>
        <v>0</v>
      </c>
      <c r="U126" s="878">
        <f>'[2]2017. előirányzat'!J126</f>
        <v>0</v>
      </c>
      <c r="V126" s="878">
        <f>'[2]2017. előirányzat'!K126</f>
        <v>-422000</v>
      </c>
      <c r="W126" s="878">
        <f>'[2]2018. előirányzat'!J126</f>
        <v>0</v>
      </c>
      <c r="X126" s="878">
        <f>'[2]2018. előirányzat'!K126</f>
        <v>0</v>
      </c>
      <c r="Y126" s="878">
        <f>'[2]2019. előirányzat'!J126</f>
        <v>0</v>
      </c>
      <c r="Z126" s="878">
        <f>'[2]2019. előirányzat'!K126</f>
        <v>0</v>
      </c>
      <c r="AA126" s="878">
        <f>'[2]2020. előirányzat'!G126</f>
        <v>0</v>
      </c>
      <c r="AB126" s="879">
        <f t="shared" si="10"/>
        <v>0</v>
      </c>
      <c r="AC126" s="879">
        <f t="shared" si="11"/>
        <v>-422000</v>
      </c>
      <c r="AD126" s="879">
        <f t="shared" si="12"/>
        <v>0</v>
      </c>
      <c r="AE126" s="879">
        <f t="shared" si="13"/>
        <v>-422000</v>
      </c>
      <c r="AF126" s="880">
        <f t="shared" si="14"/>
        <v>0</v>
      </c>
      <c r="AG126" s="880">
        <f>AE126+(3*84400)+168800</f>
        <v>0</v>
      </c>
      <c r="AH126" s="880">
        <f t="shared" si="15"/>
        <v>0</v>
      </c>
      <c r="AI126" s="878">
        <f>'[2]2021. előirányzat'!G126</f>
        <v>0</v>
      </c>
      <c r="AJ126" s="878">
        <f>'[2]2022. előirányzat'!G126</f>
        <v>0</v>
      </c>
      <c r="AK126" s="878">
        <f>'[2]2023. előirányzat'!G126</f>
        <v>0</v>
      </c>
      <c r="AL126" s="878">
        <f>'[2]2024. előirányzat'!G126</f>
        <v>0</v>
      </c>
      <c r="AM126" s="881">
        <f t="shared" si="16"/>
        <v>0</v>
      </c>
      <c r="AN126" s="881">
        <f t="shared" si="17"/>
        <v>0</v>
      </c>
      <c r="AO126" s="881">
        <f t="shared" si="18"/>
        <v>0</v>
      </c>
      <c r="AP126" s="881">
        <f t="shared" si="19"/>
        <v>0</v>
      </c>
      <c r="AQ126" s="882"/>
      <c r="AR126" s="883"/>
      <c r="AS126" s="884"/>
      <c r="AT126" s="882"/>
      <c r="AU126" s="882" t="s">
        <v>789</v>
      </c>
    </row>
    <row r="127" spans="1:50" ht="30" x14ac:dyDescent="0.25">
      <c r="A127" s="885" t="s">
        <v>713</v>
      </c>
      <c r="B127" s="755" t="str">
        <f>[1]előirányzat!B125</f>
        <v>Vasszécseny Község Önkormányzata</v>
      </c>
      <c r="C127" s="755">
        <v>1463</v>
      </c>
      <c r="D127" s="878">
        <f>'[2]2009. évi előirányzat'!M127</f>
        <v>0</v>
      </c>
      <c r="E127" s="878">
        <f>'[2]2009. évi előirányzat'!N127</f>
        <v>0</v>
      </c>
      <c r="F127" s="878">
        <f>'[2]2009. évi előirányzat'!O127</f>
        <v>0</v>
      </c>
      <c r="G127" s="878">
        <f>'[2]2010. évi előirányzat'!J127</f>
        <v>0</v>
      </c>
      <c r="H127" s="878">
        <f>'[2]2010. évi előirányzat'!K127</f>
        <v>0</v>
      </c>
      <c r="I127" s="878">
        <f>'[2]2011. évi előirányzat'!J127</f>
        <v>0</v>
      </c>
      <c r="J127" s="878">
        <f>'[2]2011. évi előirányzat'!K127</f>
        <v>0</v>
      </c>
      <c r="K127" s="878">
        <f>'[2]2012. évi előirányzat'!J127</f>
        <v>0</v>
      </c>
      <c r="L127" s="878">
        <f>'[2]2012. évi előirányzat'!K127</f>
        <v>0</v>
      </c>
      <c r="M127" s="878">
        <f>'[2]2013. előirányzat'!J127</f>
        <v>0</v>
      </c>
      <c r="N127" s="878">
        <f>'[2]2013. előirányzat'!K127</f>
        <v>0</v>
      </c>
      <c r="O127" s="878">
        <f>'[2]2014. évi előirányzat'!J127</f>
        <v>0</v>
      </c>
      <c r="P127" s="878">
        <f>'[2]2014. évi előirányzat'!K127</f>
        <v>85563</v>
      </c>
      <c r="Q127" s="878">
        <f>'[2]2015. évi előirányzat'!J127</f>
        <v>0</v>
      </c>
      <c r="R127" s="878">
        <f>'[2]2015. évi előirányzat'!K127</f>
        <v>731500</v>
      </c>
      <c r="S127" s="878">
        <f>'[2]2016 előirányzat'!J127</f>
        <v>11085</v>
      </c>
      <c r="T127" s="878">
        <f>'[2]2016 előirányzat'!K127</f>
        <v>731500</v>
      </c>
      <c r="U127" s="878">
        <f>'[2]2017. előirányzat'!J127</f>
        <v>146300</v>
      </c>
      <c r="V127" s="878">
        <f>'[2]2017. előirányzat'!K127</f>
        <v>731500</v>
      </c>
      <c r="W127" s="878">
        <f>'[2]2018. előirányzat'!J127</f>
        <v>146300</v>
      </c>
      <c r="X127" s="878">
        <f>'[2]2018. előirányzat'!K127</f>
        <v>731500</v>
      </c>
      <c r="Y127" s="878">
        <f>'[2]2019. előirányzat'!J127</f>
        <v>146300</v>
      </c>
      <c r="Z127" s="878">
        <f>'[2]2019. előirányzat'!K127</f>
        <v>731500</v>
      </c>
      <c r="AA127" s="878">
        <f>'[2]2020. előirányzat'!G127</f>
        <v>146300</v>
      </c>
      <c r="AB127" s="879">
        <f t="shared" si="10"/>
        <v>596285</v>
      </c>
      <c r="AC127" s="879">
        <f t="shared" si="11"/>
        <v>3743063</v>
      </c>
      <c r="AD127" s="879">
        <f t="shared" si="12"/>
        <v>0</v>
      </c>
      <c r="AE127" s="879">
        <f t="shared" si="13"/>
        <v>4339348</v>
      </c>
      <c r="AF127" s="880">
        <f t="shared" si="14"/>
        <v>596285</v>
      </c>
      <c r="AG127" s="880">
        <f>AC127</f>
        <v>3743063</v>
      </c>
      <c r="AH127" s="880">
        <f t="shared" si="15"/>
        <v>4339348</v>
      </c>
      <c r="AI127" s="878">
        <f>'[2]2021. előirányzat'!G127</f>
        <v>146300</v>
      </c>
      <c r="AJ127" s="878">
        <f>'[2]2022. előirányzat'!G127</f>
        <v>146300</v>
      </c>
      <c r="AK127" s="878">
        <f>'[2]2023. előirányzat'!G127</f>
        <v>146300</v>
      </c>
      <c r="AL127" s="878">
        <f>'[2]2024. előirányzat'!G127</f>
        <v>0</v>
      </c>
      <c r="AM127" s="881">
        <f t="shared" si="16"/>
        <v>1035185</v>
      </c>
      <c r="AN127" s="881">
        <f t="shared" si="17"/>
        <v>3743063</v>
      </c>
      <c r="AO127" s="881">
        <f t="shared" si="18"/>
        <v>0</v>
      </c>
      <c r="AP127" s="881">
        <f t="shared" si="19"/>
        <v>4778248</v>
      </c>
      <c r="AQ127" s="882"/>
      <c r="AR127" s="883">
        <f>V127+X127+Z127</f>
        <v>2194500</v>
      </c>
      <c r="AS127" s="884">
        <f>AP127-AR127</f>
        <v>2583748</v>
      </c>
      <c r="AT127" s="882"/>
      <c r="AU127" s="882" t="s">
        <v>789</v>
      </c>
    </row>
    <row r="128" spans="1:50" ht="30" x14ac:dyDescent="0.25">
      <c r="A128" s="754" t="s">
        <v>714</v>
      </c>
      <c r="B128" s="757" t="str">
        <f>[1]előirányzat!B126</f>
        <v>Vasszilvágy Község Önkormányzata</v>
      </c>
      <c r="C128" s="755">
        <v>434</v>
      </c>
      <c r="D128" s="878">
        <f>'[2]2009. évi előirányzat'!M128</f>
        <v>0</v>
      </c>
      <c r="E128" s="878">
        <f>'[2]2009. évi előirányzat'!N128</f>
        <v>0</v>
      </c>
      <c r="F128" s="878">
        <f>'[2]2009. évi előirányzat'!O128</f>
        <v>0</v>
      </c>
      <c r="G128" s="878">
        <f>'[2]2010. évi előirányzat'!J128</f>
        <v>0</v>
      </c>
      <c r="H128" s="878">
        <f>'[2]2010. évi előirányzat'!K128</f>
        <v>0</v>
      </c>
      <c r="I128" s="878">
        <f>'[2]2011. évi előirányzat'!J128</f>
        <v>0</v>
      </c>
      <c r="J128" s="878">
        <f>'[2]2011. évi előirányzat'!K128</f>
        <v>0</v>
      </c>
      <c r="K128" s="878">
        <f>'[2]2012. évi előirányzat'!J128</f>
        <v>0</v>
      </c>
      <c r="L128" s="878">
        <f>'[2]2012. évi előirányzat'!K128</f>
        <v>0</v>
      </c>
      <c r="M128" s="878">
        <f>'[2]2013. előirányzat'!J128</f>
        <v>0</v>
      </c>
      <c r="N128" s="878">
        <f>'[2]2013. előirányzat'!K128</f>
        <v>0</v>
      </c>
      <c r="O128" s="878">
        <f>'[2]2014. évi előirányzat'!J128</f>
        <v>0</v>
      </c>
      <c r="P128" s="878">
        <f>'[2]2014. évi előirányzat'!K128</f>
        <v>0</v>
      </c>
      <c r="Q128" s="878">
        <f>'[2]2015. évi előirányzat'!J128</f>
        <v>0</v>
      </c>
      <c r="R128" s="878">
        <f>'[2]2015. évi előirányzat'!K128</f>
        <v>0</v>
      </c>
      <c r="S128" s="878">
        <f>'[2]2016 előirányzat'!J128</f>
        <v>0</v>
      </c>
      <c r="T128" s="878">
        <f>'[2]2016 előirányzat'!K128</f>
        <v>0</v>
      </c>
      <c r="U128" s="878">
        <f>'[2]2017. előirányzat'!J128</f>
        <v>0</v>
      </c>
      <c r="V128" s="878">
        <f>'[2]2017. előirányzat'!K128</f>
        <v>-217000</v>
      </c>
      <c r="W128" s="878">
        <f>'[2]2018. előirányzat'!J128</f>
        <v>0</v>
      </c>
      <c r="X128" s="878">
        <f>'[2]2018. előirányzat'!K128</f>
        <v>0</v>
      </c>
      <c r="Y128" s="878">
        <f>'[2]2019. előirányzat'!J128</f>
        <v>0</v>
      </c>
      <c r="Z128" s="878">
        <f>'[2]2019. előirányzat'!K128</f>
        <v>0</v>
      </c>
      <c r="AA128" s="878">
        <f>'[2]2020. előirányzat'!G128</f>
        <v>0</v>
      </c>
      <c r="AB128" s="879">
        <f t="shared" si="10"/>
        <v>0</v>
      </c>
      <c r="AC128" s="879">
        <f t="shared" si="11"/>
        <v>-217000</v>
      </c>
      <c r="AD128" s="879">
        <f t="shared" si="12"/>
        <v>0</v>
      </c>
      <c r="AE128" s="879">
        <f t="shared" si="13"/>
        <v>-217000</v>
      </c>
      <c r="AF128" s="880">
        <f t="shared" si="14"/>
        <v>0</v>
      </c>
      <c r="AG128" s="880">
        <f>AE128+(3*43400)+86800</f>
        <v>0</v>
      </c>
      <c r="AH128" s="880">
        <f t="shared" si="15"/>
        <v>0</v>
      </c>
      <c r="AI128" s="878">
        <f>'[2]2021. előirányzat'!G128</f>
        <v>0</v>
      </c>
      <c r="AJ128" s="878">
        <f>'[2]2022. előirányzat'!G128</f>
        <v>0</v>
      </c>
      <c r="AK128" s="878">
        <f>'[2]2023. előirányzat'!G128</f>
        <v>0</v>
      </c>
      <c r="AL128" s="878">
        <f>'[2]2024. előirányzat'!G128</f>
        <v>0</v>
      </c>
      <c r="AM128" s="881">
        <f t="shared" si="16"/>
        <v>0</v>
      </c>
      <c r="AN128" s="881">
        <f t="shared" si="17"/>
        <v>0</v>
      </c>
      <c r="AO128" s="881">
        <f t="shared" si="18"/>
        <v>0</v>
      </c>
      <c r="AP128" s="881">
        <f t="shared" si="19"/>
        <v>0</v>
      </c>
      <c r="AQ128" s="882"/>
      <c r="AR128" s="883"/>
      <c r="AS128" s="884"/>
      <c r="AT128" s="882"/>
      <c r="AU128" s="882" t="s">
        <v>789</v>
      </c>
    </row>
    <row r="129" spans="1:47" ht="30" x14ac:dyDescent="0.25">
      <c r="A129" s="885" t="s">
        <v>715</v>
      </c>
      <c r="B129" s="755" t="str">
        <f>[1]előirányzat!B127</f>
        <v>Vát Község Önkormányzata</v>
      </c>
      <c r="C129" s="755">
        <v>681</v>
      </c>
      <c r="D129" s="878">
        <f>'[2]2009. évi előirányzat'!M129</f>
        <v>0</v>
      </c>
      <c r="E129" s="878">
        <f>'[2]2009. évi előirányzat'!N129</f>
        <v>0</v>
      </c>
      <c r="F129" s="878">
        <f>'[2]2009. évi előirányzat'!O129</f>
        <v>0</v>
      </c>
      <c r="G129" s="878">
        <f>'[2]2010. évi előirányzat'!J129</f>
        <v>0</v>
      </c>
      <c r="H129" s="878">
        <f>'[2]2010. évi előirányzat'!K129</f>
        <v>0</v>
      </c>
      <c r="I129" s="878">
        <f>'[2]2011. évi előirányzat'!J129</f>
        <v>0</v>
      </c>
      <c r="J129" s="878">
        <f>'[2]2011. évi előirányzat'!K129</f>
        <v>0</v>
      </c>
      <c r="K129" s="878">
        <f>'[2]2012. évi előirányzat'!J129</f>
        <v>0</v>
      </c>
      <c r="L129" s="878">
        <f>'[2]2012. évi előirányzat'!K129</f>
        <v>0</v>
      </c>
      <c r="M129" s="878">
        <f>'[2]2013. előirányzat'!J129</f>
        <v>0</v>
      </c>
      <c r="N129" s="878">
        <f>'[2]2013. előirányzat'!K129</f>
        <v>0</v>
      </c>
      <c r="O129" s="878">
        <f>'[2]2014. évi előirányzat'!J129</f>
        <v>0</v>
      </c>
      <c r="P129" s="878">
        <f>'[2]2014. évi előirányzat'!K129</f>
        <v>0</v>
      </c>
      <c r="Q129" s="878">
        <f>'[2]2015. évi előirányzat'!J129</f>
        <v>0</v>
      </c>
      <c r="R129" s="878">
        <f>'[2]2015. évi előirányzat'!K129</f>
        <v>149820</v>
      </c>
      <c r="S129" s="878">
        <f>'[2]2016 előirányzat'!J129</f>
        <v>68100.000000000015</v>
      </c>
      <c r="T129" s="878">
        <f>'[2]2016 előirányzat'!K129</f>
        <v>340500</v>
      </c>
      <c r="U129" s="878">
        <f>'[2]2017. előirányzat'!J129</f>
        <v>68100.000000000015</v>
      </c>
      <c r="V129" s="878">
        <f>'[2]2017. előirányzat'!K129</f>
        <v>340500</v>
      </c>
      <c r="W129" s="878">
        <f>'[2]2018. előirányzat'!J129</f>
        <v>68100.000000000015</v>
      </c>
      <c r="X129" s="878">
        <f>'[2]2018. előirányzat'!K129</f>
        <v>340500</v>
      </c>
      <c r="Y129" s="878">
        <f>'[2]2019. előirányzat'!J129</f>
        <v>68100.000000000015</v>
      </c>
      <c r="Z129" s="878">
        <f>'[2]2019. előirányzat'!K129</f>
        <v>340500</v>
      </c>
      <c r="AA129" s="878">
        <f>'[2]2020. előirányzat'!G129</f>
        <v>68100.000000000015</v>
      </c>
      <c r="AB129" s="879">
        <f t="shared" si="10"/>
        <v>340500.00000000006</v>
      </c>
      <c r="AC129" s="879">
        <f t="shared" si="11"/>
        <v>1511820</v>
      </c>
      <c r="AD129" s="879">
        <f t="shared" si="12"/>
        <v>0</v>
      </c>
      <c r="AE129" s="879">
        <f t="shared" si="13"/>
        <v>1852320</v>
      </c>
      <c r="AF129" s="880">
        <f t="shared" si="14"/>
        <v>340500.00000000006</v>
      </c>
      <c r="AG129" s="880">
        <f>AC129</f>
        <v>1511820</v>
      </c>
      <c r="AH129" s="880">
        <f t="shared" si="15"/>
        <v>1852320</v>
      </c>
      <c r="AI129" s="878">
        <f>'[2]2021. előirányzat'!G129</f>
        <v>68100.000000000015</v>
      </c>
      <c r="AJ129" s="878">
        <f>'[2]2022. előirányzat'!G129</f>
        <v>68100.000000000015</v>
      </c>
      <c r="AK129" s="878">
        <f>'[2]2023. előirányzat'!G129</f>
        <v>68100.000000000015</v>
      </c>
      <c r="AL129" s="878">
        <f>'[2]2024. előirányzat'!G129</f>
        <v>0</v>
      </c>
      <c r="AM129" s="881">
        <f t="shared" si="16"/>
        <v>544800.00000000012</v>
      </c>
      <c r="AN129" s="881">
        <f t="shared" si="17"/>
        <v>1511820</v>
      </c>
      <c r="AO129" s="881">
        <f t="shared" si="18"/>
        <v>0</v>
      </c>
      <c r="AP129" s="881">
        <f t="shared" si="19"/>
        <v>2056620</v>
      </c>
      <c r="AQ129" s="882">
        <f>340500*3</f>
        <v>1021500</v>
      </c>
      <c r="AR129" s="883">
        <f>V129+X129+Z129</f>
        <v>1021500</v>
      </c>
      <c r="AS129" s="884">
        <f>AP129-AR129</f>
        <v>1035120</v>
      </c>
      <c r="AT129" s="882"/>
      <c r="AU129" s="882" t="s">
        <v>789</v>
      </c>
    </row>
    <row r="130" spans="1:47" ht="30" x14ac:dyDescent="0.25">
      <c r="A130" s="885" t="s">
        <v>716</v>
      </c>
      <c r="B130" s="757" t="str">
        <f>[1]előirányzat!B128</f>
        <v>Velem Község Önkormányzata</v>
      </c>
      <c r="C130" s="755">
        <v>337</v>
      </c>
      <c r="D130" s="878">
        <f>'[2]2009. évi előirányzat'!M130</f>
        <v>0</v>
      </c>
      <c r="E130" s="878">
        <f>'[2]2009. évi előirányzat'!N130</f>
        <v>0</v>
      </c>
      <c r="F130" s="878">
        <f>'[2]2009. évi előirányzat'!O130</f>
        <v>0</v>
      </c>
      <c r="G130" s="878">
        <f>'[2]2010. évi előirányzat'!J130</f>
        <v>0</v>
      </c>
      <c r="H130" s="878">
        <f>'[2]2010. évi előirányzat'!K130</f>
        <v>0</v>
      </c>
      <c r="I130" s="878">
        <f>'[2]2011. évi előirányzat'!J130</f>
        <v>0</v>
      </c>
      <c r="J130" s="878">
        <f>'[2]2011. évi előirányzat'!K130</f>
        <v>0</v>
      </c>
      <c r="K130" s="878">
        <f>'[2]2012. évi előirányzat'!J130</f>
        <v>0</v>
      </c>
      <c r="L130" s="878">
        <f>'[2]2012. évi előirányzat'!K130</f>
        <v>0</v>
      </c>
      <c r="M130" s="878">
        <f>'[2]2013. előirányzat'!J130</f>
        <v>0</v>
      </c>
      <c r="N130" s="878">
        <f>'[2]2013. előirányzat'!K130</f>
        <v>0</v>
      </c>
      <c r="O130" s="878">
        <f>'[2]2014. évi előirányzat'!J130</f>
        <v>0</v>
      </c>
      <c r="P130" s="878">
        <f>'[2]2014. évi előirányzat'!K130</f>
        <v>0</v>
      </c>
      <c r="Q130" s="878">
        <f>'[2]2015. évi előirányzat'!J130</f>
        <v>0</v>
      </c>
      <c r="R130" s="878">
        <f>'[2]2015. évi előirányzat'!K130</f>
        <v>0</v>
      </c>
      <c r="S130" s="878">
        <f>'[2]2016 előirányzat'!J130</f>
        <v>0</v>
      </c>
      <c r="T130" s="878">
        <f>'[2]2016 előirányzat'!K130</f>
        <v>0</v>
      </c>
      <c r="U130" s="878">
        <f>'[2]2017. előirányzat'!J130</f>
        <v>0</v>
      </c>
      <c r="V130" s="878">
        <f>'[2]2017. előirányzat'!K130</f>
        <v>-168500</v>
      </c>
      <c r="W130" s="878">
        <f>'[2]2018. előirányzat'!J130</f>
        <v>0</v>
      </c>
      <c r="X130" s="878">
        <f>'[2]2018. előirányzat'!K130</f>
        <v>-2700</v>
      </c>
      <c r="Y130" s="878">
        <f>'[2]2019. előirányzat'!J130</f>
        <v>0</v>
      </c>
      <c r="Z130" s="878">
        <f>'[2]2019. előirányzat'!K130</f>
        <v>0</v>
      </c>
      <c r="AA130" s="878">
        <f>'[2]2020. előirányzat'!G130</f>
        <v>0</v>
      </c>
      <c r="AB130" s="879">
        <f t="shared" si="10"/>
        <v>0</v>
      </c>
      <c r="AC130" s="879">
        <f t="shared" si="11"/>
        <v>-171200</v>
      </c>
      <c r="AD130" s="879">
        <f t="shared" si="12"/>
        <v>0</v>
      </c>
      <c r="AE130" s="879">
        <f t="shared" si="13"/>
        <v>-171200</v>
      </c>
      <c r="AF130" s="880">
        <f t="shared" si="14"/>
        <v>0</v>
      </c>
      <c r="AG130" s="880">
        <f>AE130+33700+137500</f>
        <v>0</v>
      </c>
      <c r="AH130" s="880">
        <f t="shared" si="15"/>
        <v>0</v>
      </c>
      <c r="AI130" s="878">
        <f>'[2]2021. előirányzat'!G130</f>
        <v>0</v>
      </c>
      <c r="AJ130" s="878">
        <f>'[2]2022. előirányzat'!G130</f>
        <v>0</v>
      </c>
      <c r="AK130" s="878">
        <f>'[2]2023. előirányzat'!G130</f>
        <v>0</v>
      </c>
      <c r="AL130" s="878">
        <f>'[2]2024. előirányzat'!G130</f>
        <v>0</v>
      </c>
      <c r="AM130" s="881">
        <f t="shared" si="16"/>
        <v>0</v>
      </c>
      <c r="AN130" s="881">
        <f t="shared" si="17"/>
        <v>0</v>
      </c>
      <c r="AO130" s="881">
        <f t="shared" si="18"/>
        <v>0</v>
      </c>
      <c r="AP130" s="881">
        <f t="shared" si="19"/>
        <v>0</v>
      </c>
      <c r="AQ130" s="882"/>
      <c r="AR130" s="883"/>
      <c r="AS130" s="884">
        <f>AP130-AR130</f>
        <v>0</v>
      </c>
      <c r="AT130" s="882"/>
      <c r="AU130" s="882" t="s">
        <v>784</v>
      </c>
    </row>
    <row r="131" spans="1:47" ht="30" x14ac:dyDescent="0.25">
      <c r="A131" s="754" t="s">
        <v>717</v>
      </c>
      <c r="B131" s="757" t="str">
        <f>[1]előirányzat!B129</f>
        <v>Velemér Község Önkormányzata</v>
      </c>
      <c r="C131" s="755">
        <v>99</v>
      </c>
      <c r="D131" s="878">
        <f>'[2]2009. évi előirányzat'!M131</f>
        <v>0</v>
      </c>
      <c r="E131" s="878">
        <f>'[2]2009. évi előirányzat'!N131</f>
        <v>0</v>
      </c>
      <c r="F131" s="878">
        <f>'[2]2009. évi előirányzat'!O131</f>
        <v>0</v>
      </c>
      <c r="G131" s="878">
        <f>'[2]2010. évi előirányzat'!J131</f>
        <v>0</v>
      </c>
      <c r="H131" s="878">
        <f>'[2]2010. évi előirányzat'!K131</f>
        <v>0</v>
      </c>
      <c r="I131" s="878">
        <f>'[2]2011. évi előirányzat'!J131</f>
        <v>0</v>
      </c>
      <c r="J131" s="878">
        <f>'[2]2011. évi előirányzat'!K131</f>
        <v>0</v>
      </c>
      <c r="K131" s="878">
        <f>'[2]2012. évi előirányzat'!J131</f>
        <v>0</v>
      </c>
      <c r="L131" s="878">
        <f>'[2]2012. évi előirányzat'!K131</f>
        <v>0</v>
      </c>
      <c r="M131" s="878">
        <f>'[2]2013. előirányzat'!J131</f>
        <v>0</v>
      </c>
      <c r="N131" s="878">
        <f>'[2]2013. előirányzat'!K131</f>
        <v>0</v>
      </c>
      <c r="O131" s="878">
        <f>'[2]2014. évi előirányzat'!J131</f>
        <v>0</v>
      </c>
      <c r="P131" s="878">
        <f>'[2]2014. évi előirányzat'!K131</f>
        <v>0</v>
      </c>
      <c r="Q131" s="878">
        <f>'[2]2015. évi előirányzat'!J131</f>
        <v>0</v>
      </c>
      <c r="R131" s="878">
        <f>'[2]2015. évi előirányzat'!K131</f>
        <v>0</v>
      </c>
      <c r="S131" s="878">
        <f>'[2]2016 előirányzat'!J131</f>
        <v>0</v>
      </c>
      <c r="T131" s="878">
        <f>'[2]2016 előirányzat'!K131</f>
        <v>0</v>
      </c>
      <c r="U131" s="878">
        <f>'[2]2017. előirányzat'!J131</f>
        <v>0</v>
      </c>
      <c r="V131" s="878">
        <f>'[2]2017. előirányzat'!K131</f>
        <v>-49500</v>
      </c>
      <c r="W131" s="878">
        <f>'[2]2018. előirányzat'!J131</f>
        <v>0</v>
      </c>
      <c r="X131" s="878">
        <f>'[2]2018. előirányzat'!K131</f>
        <v>-49500</v>
      </c>
      <c r="Y131" s="878">
        <f>'[2]2019. előirányzat'!J131</f>
        <v>0</v>
      </c>
      <c r="Z131" s="878">
        <f>'[2]2019. előirányzat'!K131</f>
        <v>0</v>
      </c>
      <c r="AA131" s="878">
        <f>'[2]2020. előirányzat'!G131</f>
        <v>0</v>
      </c>
      <c r="AB131" s="879">
        <f t="shared" si="10"/>
        <v>0</v>
      </c>
      <c r="AC131" s="879">
        <f t="shared" si="11"/>
        <v>-99000</v>
      </c>
      <c r="AD131" s="879">
        <f t="shared" si="12"/>
        <v>0</v>
      </c>
      <c r="AE131" s="879">
        <f t="shared" si="13"/>
        <v>-99000</v>
      </c>
      <c r="AF131" s="880">
        <f t="shared" si="14"/>
        <v>0</v>
      </c>
      <c r="AG131" s="880">
        <f>AC131+(2*9900)+79200</f>
        <v>0</v>
      </c>
      <c r="AH131" s="880">
        <f t="shared" si="15"/>
        <v>0</v>
      </c>
      <c r="AI131" s="878">
        <f>'[2]2021. előirányzat'!G131</f>
        <v>0</v>
      </c>
      <c r="AJ131" s="878">
        <f>'[2]2022. előirányzat'!G131</f>
        <v>0</v>
      </c>
      <c r="AK131" s="878">
        <f>'[2]2023. előirányzat'!G131</f>
        <v>0</v>
      </c>
      <c r="AL131" s="878">
        <f>'[2]2024. előirányzat'!G131</f>
        <v>0</v>
      </c>
      <c r="AM131" s="881">
        <f t="shared" si="16"/>
        <v>0</v>
      </c>
      <c r="AN131" s="881">
        <f t="shared" si="17"/>
        <v>0</v>
      </c>
      <c r="AO131" s="881">
        <f t="shared" si="18"/>
        <v>0</v>
      </c>
      <c r="AP131" s="881">
        <f t="shared" si="19"/>
        <v>0</v>
      </c>
      <c r="AQ131" s="882"/>
      <c r="AR131" s="883"/>
      <c r="AS131" s="884"/>
      <c r="AT131" s="882"/>
      <c r="AU131" s="882" t="s">
        <v>781</v>
      </c>
    </row>
    <row r="132" spans="1:47" ht="30" x14ac:dyDescent="0.25">
      <c r="A132" s="885" t="s">
        <v>718</v>
      </c>
      <c r="B132" s="755" t="str">
        <f>[1]előirányzat!B130</f>
        <v>Vép Város Önkormányzata</v>
      </c>
      <c r="C132" s="755">
        <v>3504</v>
      </c>
      <c r="D132" s="878">
        <f>'[2]2009. évi előirányzat'!M132</f>
        <v>0</v>
      </c>
      <c r="E132" s="878">
        <f>'[2]2009. évi előirányzat'!N132</f>
        <v>0</v>
      </c>
      <c r="F132" s="878">
        <f>'[2]2009. évi előirányzat'!O132</f>
        <v>0</v>
      </c>
      <c r="G132" s="878">
        <f>'[2]2010. évi előirányzat'!J132</f>
        <v>0</v>
      </c>
      <c r="H132" s="878">
        <f>'[2]2010. évi előirányzat'!K132</f>
        <v>0</v>
      </c>
      <c r="I132" s="878">
        <f>'[2]2011. évi előirányzat'!J132</f>
        <v>0</v>
      </c>
      <c r="J132" s="878">
        <f>'[2]2011. évi előirányzat'!K132</f>
        <v>0</v>
      </c>
      <c r="K132" s="878">
        <f>'[2]2012. évi előirányzat'!J132</f>
        <v>0</v>
      </c>
      <c r="L132" s="878">
        <f>'[2]2012. évi előirányzat'!K132</f>
        <v>0</v>
      </c>
      <c r="M132" s="878">
        <f>'[2]2013. előirányzat'!J132</f>
        <v>0</v>
      </c>
      <c r="N132" s="878">
        <f>'[2]2013. előirányzat'!K132</f>
        <v>0</v>
      </c>
      <c r="O132" s="878">
        <f>'[2]2014. évi előirányzat'!J132</f>
        <v>350400.00000000006</v>
      </c>
      <c r="P132" s="878">
        <f>'[2]2014. évi előirányzat'!K132</f>
        <v>0</v>
      </c>
      <c r="Q132" s="878">
        <f>'[2]2015. évi előirányzat'!J132</f>
        <v>350400.00000000006</v>
      </c>
      <c r="R132" s="878">
        <f>'[2]2015. évi előirányzat'!K132</f>
        <v>1752000</v>
      </c>
      <c r="S132" s="878">
        <f>'[2]2016 előirányzat'!J132</f>
        <v>350400.00000000006</v>
      </c>
      <c r="T132" s="878">
        <f>'[2]2016 előirányzat'!K132</f>
        <v>1752000</v>
      </c>
      <c r="U132" s="878">
        <f>'[2]2017. előirányzat'!J132</f>
        <v>350400.00000000006</v>
      </c>
      <c r="V132" s="878">
        <f>'[2]2017. előirányzat'!K132</f>
        <v>1752000</v>
      </c>
      <c r="W132" s="878">
        <f>'[2]2018. előirányzat'!J132</f>
        <v>350400.00000000006</v>
      </c>
      <c r="X132" s="878">
        <f>'[2]2018. előirányzat'!K132</f>
        <v>1752000</v>
      </c>
      <c r="Y132" s="878">
        <f>'[2]2019. előirányzat'!J132</f>
        <v>350400.00000000006</v>
      </c>
      <c r="Z132" s="878">
        <f>'[2]2019. előirányzat'!K132</f>
        <v>1752000</v>
      </c>
      <c r="AA132" s="878">
        <f>'[2]2020. előirányzat'!G132</f>
        <v>350400.00000000006</v>
      </c>
      <c r="AB132" s="879">
        <f t="shared" si="10"/>
        <v>2452800.0000000005</v>
      </c>
      <c r="AC132" s="879">
        <f t="shared" si="11"/>
        <v>8760000</v>
      </c>
      <c r="AD132" s="879">
        <f t="shared" si="12"/>
        <v>0</v>
      </c>
      <c r="AE132" s="879">
        <f t="shared" si="13"/>
        <v>11212800</v>
      </c>
      <c r="AF132" s="880">
        <f t="shared" si="14"/>
        <v>2452800.0000000005</v>
      </c>
      <c r="AG132" s="880">
        <f>AC132</f>
        <v>8760000</v>
      </c>
      <c r="AH132" s="880">
        <f t="shared" si="15"/>
        <v>11212800</v>
      </c>
      <c r="AI132" s="878">
        <f>'[2]2021. előirányzat'!G132</f>
        <v>350400.00000000006</v>
      </c>
      <c r="AJ132" s="878">
        <f>'[2]2022. előirányzat'!G132</f>
        <v>350400.00000000006</v>
      </c>
      <c r="AK132" s="878">
        <f>'[2]2023. előirányzat'!G132</f>
        <v>350400.00000000006</v>
      </c>
      <c r="AL132" s="878">
        <f>'[2]2024. előirányzat'!G132</f>
        <v>0</v>
      </c>
      <c r="AM132" s="881">
        <f t="shared" si="16"/>
        <v>3504000.0000000005</v>
      </c>
      <c r="AN132" s="881">
        <f t="shared" si="17"/>
        <v>8760000</v>
      </c>
      <c r="AO132" s="881">
        <f t="shared" si="18"/>
        <v>0</v>
      </c>
      <c r="AP132" s="881">
        <f t="shared" si="19"/>
        <v>12264000</v>
      </c>
      <c r="AQ132" s="882"/>
      <c r="AR132" s="883">
        <f>V132+X132+Z132</f>
        <v>5256000</v>
      </c>
      <c r="AS132" s="884">
        <f>AP132-AR132</f>
        <v>7008000</v>
      </c>
      <c r="AT132" s="882"/>
      <c r="AU132" s="882" t="s">
        <v>789</v>
      </c>
    </row>
    <row r="133" spans="1:47" ht="30" x14ac:dyDescent="0.25">
      <c r="A133" s="885" t="s">
        <v>719</v>
      </c>
      <c r="B133" s="757" t="str">
        <f>[1]előirányzat!B131</f>
        <v>Viszák Község Önkormányzata</v>
      </c>
      <c r="C133" s="755">
        <v>274</v>
      </c>
      <c r="D133" s="878">
        <f>'[2]2009. évi előirányzat'!M133</f>
        <v>0</v>
      </c>
      <c r="E133" s="878">
        <f>'[2]2009. évi előirányzat'!N133</f>
        <v>0</v>
      </c>
      <c r="F133" s="878">
        <f>'[2]2009. évi előirányzat'!O133</f>
        <v>0</v>
      </c>
      <c r="G133" s="878">
        <f>'[2]2010. évi előirányzat'!J133</f>
        <v>0</v>
      </c>
      <c r="H133" s="878">
        <f>'[2]2010. évi előirányzat'!K133</f>
        <v>0</v>
      </c>
      <c r="I133" s="878">
        <f>'[2]2011. évi előirányzat'!J133</f>
        <v>0</v>
      </c>
      <c r="J133" s="878">
        <f>'[2]2011. évi előirányzat'!K133</f>
        <v>0</v>
      </c>
      <c r="K133" s="878">
        <f>'[2]2012. évi előirányzat'!J133</f>
        <v>0</v>
      </c>
      <c r="L133" s="878">
        <f>'[2]2012. évi előirányzat'!K133</f>
        <v>0</v>
      </c>
      <c r="M133" s="878">
        <f>'[2]2013. előirányzat'!J133</f>
        <v>0</v>
      </c>
      <c r="N133" s="878">
        <f>'[2]2013. előirányzat'!K133</f>
        <v>0</v>
      </c>
      <c r="O133" s="878">
        <f>'[2]2014. évi előirányzat'!J133</f>
        <v>0</v>
      </c>
      <c r="P133" s="878">
        <f>'[2]2014. évi előirányzat'!K133</f>
        <v>0</v>
      </c>
      <c r="Q133" s="878">
        <f>'[2]2015. évi előirányzat'!J133</f>
        <v>0</v>
      </c>
      <c r="R133" s="878">
        <f>'[2]2015. évi előirányzat'!K133</f>
        <v>0</v>
      </c>
      <c r="S133" s="878">
        <f>'[2]2016 előirányzat'!J133</f>
        <v>0</v>
      </c>
      <c r="T133" s="878">
        <f>'[2]2016 előirányzat'!K133</f>
        <v>0</v>
      </c>
      <c r="U133" s="878">
        <f>'[2]2017. előirányzat'!J133</f>
        <v>0</v>
      </c>
      <c r="V133" s="878">
        <f>'[2]2017. előirányzat'!K133</f>
        <v>-137000</v>
      </c>
      <c r="W133" s="878">
        <f>'[2]2018. előirányzat'!J133</f>
        <v>0</v>
      </c>
      <c r="X133" s="878">
        <f>'[2]2018. előirányzat'!K133</f>
        <v>-137000</v>
      </c>
      <c r="Y133" s="878">
        <f>'[2]2019. előirányzat'!J133</f>
        <v>0</v>
      </c>
      <c r="Z133" s="878">
        <f>'[2]2019. előirányzat'!K133</f>
        <v>-122600</v>
      </c>
      <c r="AA133" s="878">
        <f>'[2]2020. előirányzat'!G133</f>
        <v>0</v>
      </c>
      <c r="AB133" s="879">
        <f>D133+G133+I133+K133+M133+O133+Q133+S133+U133+W133+Y133+AA133</f>
        <v>0</v>
      </c>
      <c r="AC133" s="879">
        <f>E133+H133+J133+L133+N133+P133+R133+T133+V133+X133+Z133</f>
        <v>-396600</v>
      </c>
      <c r="AD133" s="879">
        <f>F133</f>
        <v>0</v>
      </c>
      <c r="AE133" s="879">
        <f>AB133+AC133+AD133</f>
        <v>-396600</v>
      </c>
      <c r="AF133" s="880">
        <f>AB133</f>
        <v>0</v>
      </c>
      <c r="AG133" s="880">
        <f>AE133+27400+369200</f>
        <v>0</v>
      </c>
      <c r="AH133" s="880">
        <f>AF133+AG133</f>
        <v>0</v>
      </c>
      <c r="AI133" s="878">
        <f>'[2]2021. előirányzat'!G133</f>
        <v>0</v>
      </c>
      <c r="AJ133" s="878">
        <f>'[2]2022. előirányzat'!G133</f>
        <v>0</v>
      </c>
      <c r="AK133" s="878">
        <f>'[2]2023. előirányzat'!G133</f>
        <v>0</v>
      </c>
      <c r="AL133" s="878">
        <f>'[2]2024. előirányzat'!G133</f>
        <v>0</v>
      </c>
      <c r="AM133" s="881">
        <f>AF133+AI133+AJ133+AK133+AL133</f>
        <v>0</v>
      </c>
      <c r="AN133" s="881">
        <f>AG133</f>
        <v>0</v>
      </c>
      <c r="AO133" s="881">
        <f>AD133</f>
        <v>0</v>
      </c>
      <c r="AP133" s="881">
        <f>AM133+AN133+AO133</f>
        <v>0</v>
      </c>
      <c r="AQ133" s="882"/>
      <c r="AR133" s="883"/>
      <c r="AS133" s="884"/>
      <c r="AT133" s="882"/>
      <c r="AU133" s="882" t="s">
        <v>781</v>
      </c>
    </row>
    <row r="134" spans="1:47" ht="30.75" thickBot="1" x14ac:dyDescent="0.3">
      <c r="A134" s="754" t="s">
        <v>720</v>
      </c>
      <c r="B134" s="757" t="str">
        <f>[1]előirányzat!B132</f>
        <v>Zsennye Község Önkormányzata</v>
      </c>
      <c r="C134" s="755">
        <v>94</v>
      </c>
      <c r="D134" s="878">
        <f>'[2]2009. évi előirányzat'!M134</f>
        <v>0</v>
      </c>
      <c r="E134" s="878">
        <f>'[2]2009. évi előirányzat'!N134</f>
        <v>0</v>
      </c>
      <c r="F134" s="878">
        <f>'[2]2009. évi előirányzat'!O134</f>
        <v>0</v>
      </c>
      <c r="G134" s="878">
        <f>'[2]2010. évi előirányzat'!J134</f>
        <v>0</v>
      </c>
      <c r="H134" s="878">
        <f>'[2]2010. évi előirányzat'!K134</f>
        <v>0</v>
      </c>
      <c r="I134" s="878">
        <f>'[2]2011. évi előirányzat'!J134</f>
        <v>0</v>
      </c>
      <c r="J134" s="878">
        <f>'[2]2011. évi előirányzat'!K134</f>
        <v>0</v>
      </c>
      <c r="K134" s="878">
        <f>'[2]2012. évi előirányzat'!J134</f>
        <v>0</v>
      </c>
      <c r="L134" s="878">
        <f>'[2]2012. évi előirányzat'!K134</f>
        <v>0</v>
      </c>
      <c r="M134" s="878">
        <f>'[2]2013. előirányzat'!J134</f>
        <v>0</v>
      </c>
      <c r="N134" s="878">
        <f>'[2]2013. előirányzat'!K134</f>
        <v>0</v>
      </c>
      <c r="O134" s="878">
        <f>'[2]2014. évi előirányzat'!J134</f>
        <v>0</v>
      </c>
      <c r="P134" s="878">
        <f>'[2]2014. évi előirányzat'!K134</f>
        <v>0</v>
      </c>
      <c r="Q134" s="878">
        <f>'[2]2015. évi előirányzat'!J134</f>
        <v>0</v>
      </c>
      <c r="R134" s="878">
        <f>'[2]2015. évi előirányzat'!K134</f>
        <v>0</v>
      </c>
      <c r="S134" s="878">
        <f>'[2]2016 előirányzat'!J134</f>
        <v>0</v>
      </c>
      <c r="T134" s="878">
        <f>'[2]2016 előirányzat'!K134</f>
        <v>0</v>
      </c>
      <c r="U134" s="878">
        <f>'[2]2017. előirányzat'!J134</f>
        <v>0</v>
      </c>
      <c r="V134" s="878">
        <f>'[2]2017. előirányzat'!K134</f>
        <v>-47000</v>
      </c>
      <c r="W134" s="878">
        <f>'[2]2018. előirányzat'!J134</f>
        <v>0</v>
      </c>
      <c r="X134" s="878">
        <f>'[2]2018. előirányzat'!K134</f>
        <v>-47000</v>
      </c>
      <c r="Y134" s="878">
        <f>'[2]2019. előirányzat'!J134</f>
        <v>0</v>
      </c>
      <c r="Z134" s="878">
        <f>'[2]2019. előirányzat'!K134</f>
        <v>0</v>
      </c>
      <c r="AA134" s="878">
        <f>'[2]2020. előirányzat'!G134</f>
        <v>0</v>
      </c>
      <c r="AB134" s="879">
        <f>D134+G134+I134+K134+M134+O134+Q134+S134+U134+W134+Y134+AA134</f>
        <v>0</v>
      </c>
      <c r="AC134" s="879">
        <f>E134+H134+J134+L134+N134+P134+R134+T134+V134+X134+Z134</f>
        <v>-94000</v>
      </c>
      <c r="AD134" s="879">
        <f>F134</f>
        <v>0</v>
      </c>
      <c r="AE134" s="879">
        <f>AB134+AC134+AD134</f>
        <v>-94000</v>
      </c>
      <c r="AF134" s="880">
        <f>AB134</f>
        <v>0</v>
      </c>
      <c r="AG134" s="880">
        <f>AE134+(2*9400)+75200</f>
        <v>0</v>
      </c>
      <c r="AH134" s="880">
        <f>AF134+AG134</f>
        <v>0</v>
      </c>
      <c r="AI134" s="878">
        <f>'[2]2021. előirányzat'!G134</f>
        <v>0</v>
      </c>
      <c r="AJ134" s="878">
        <f>'[2]2022. előirányzat'!G134</f>
        <v>0</v>
      </c>
      <c r="AK134" s="878">
        <f>'[2]2023. előirányzat'!G134</f>
        <v>0</v>
      </c>
      <c r="AL134" s="878">
        <f>'[2]2024. előirányzat'!G134</f>
        <v>0</v>
      </c>
      <c r="AM134" s="881">
        <f>AF134+AI134+AJ134+AK134+AL134</f>
        <v>0</v>
      </c>
      <c r="AN134" s="881">
        <f>AG134</f>
        <v>0</v>
      </c>
      <c r="AO134" s="881">
        <f>AD134</f>
        <v>0</v>
      </c>
      <c r="AP134" s="881">
        <f>AM134+AN134+AO134</f>
        <v>0</v>
      </c>
      <c r="AQ134" s="882"/>
      <c r="AR134" s="883"/>
      <c r="AS134" s="884"/>
      <c r="AT134" s="882"/>
      <c r="AU134" s="882" t="s">
        <v>789</v>
      </c>
    </row>
    <row r="135" spans="1:47" ht="16.5" thickBot="1" x14ac:dyDescent="0.3">
      <c r="A135" s="1019" t="s">
        <v>59</v>
      </c>
      <c r="B135" s="1020"/>
      <c r="C135" s="760">
        <f>SUM(C4:C134)</f>
        <v>186526</v>
      </c>
      <c r="D135" s="760">
        <f t="shared" ref="D135:AH135" si="20">SUM(D4:D134)</f>
        <v>0</v>
      </c>
      <c r="E135" s="760">
        <f t="shared" si="20"/>
        <v>0</v>
      </c>
      <c r="F135" s="760">
        <f t="shared" si="20"/>
        <v>0</v>
      </c>
      <c r="G135" s="760">
        <f t="shared" si="20"/>
        <v>0</v>
      </c>
      <c r="H135" s="760">
        <f t="shared" si="20"/>
        <v>0</v>
      </c>
      <c r="I135" s="760">
        <f t="shared" si="20"/>
        <v>0</v>
      </c>
      <c r="J135" s="760">
        <f t="shared" si="20"/>
        <v>0</v>
      </c>
      <c r="K135" s="760">
        <f t="shared" si="20"/>
        <v>0</v>
      </c>
      <c r="L135" s="760">
        <f t="shared" si="20"/>
        <v>0</v>
      </c>
      <c r="M135" s="760">
        <f t="shared" si="20"/>
        <v>0</v>
      </c>
      <c r="N135" s="760">
        <f t="shared" si="20"/>
        <v>0</v>
      </c>
      <c r="O135" s="760">
        <f t="shared" si="20"/>
        <v>383000.00000000006</v>
      </c>
      <c r="P135" s="760">
        <f t="shared" si="20"/>
        <v>160003</v>
      </c>
      <c r="Q135" s="760">
        <f t="shared" si="20"/>
        <v>476668.00000000006</v>
      </c>
      <c r="R135" s="760">
        <f t="shared" si="20"/>
        <v>6036752</v>
      </c>
      <c r="S135" s="760">
        <f t="shared" si="20"/>
        <v>1643685</v>
      </c>
      <c r="T135" s="760">
        <f t="shared" si="20"/>
        <v>41127804</v>
      </c>
      <c r="U135" s="760">
        <f t="shared" si="20"/>
        <v>11428750</v>
      </c>
      <c r="V135" s="760">
        <f t="shared" si="20"/>
        <v>43285489</v>
      </c>
      <c r="W135" s="760">
        <f t="shared" si="20"/>
        <v>11490400</v>
      </c>
      <c r="X135" s="760">
        <f t="shared" si="20"/>
        <v>54441600</v>
      </c>
      <c r="Y135" s="760">
        <f t="shared" si="20"/>
        <v>11584333</v>
      </c>
      <c r="Z135" s="760">
        <f t="shared" si="20"/>
        <v>57413100</v>
      </c>
      <c r="AA135" s="760">
        <f t="shared" si="20"/>
        <v>11679800</v>
      </c>
      <c r="AB135" s="761">
        <f t="shared" si="20"/>
        <v>48686636.000000007</v>
      </c>
      <c r="AC135" s="761">
        <f t="shared" si="20"/>
        <v>202464748</v>
      </c>
      <c r="AD135" s="761">
        <f t="shared" si="20"/>
        <v>0</v>
      </c>
      <c r="AE135" s="761">
        <f t="shared" si="20"/>
        <v>251440384</v>
      </c>
      <c r="AF135" s="782">
        <f t="shared" si="20"/>
        <v>48686636.000000007</v>
      </c>
      <c r="AG135" s="782">
        <f t="shared" si="20"/>
        <v>222876548</v>
      </c>
      <c r="AH135" s="782">
        <f t="shared" si="20"/>
        <v>271563184</v>
      </c>
      <c r="AI135" s="892">
        <f>'[2]2021. előirányzat'!G135</f>
        <v>11706100</v>
      </c>
      <c r="AJ135" s="892">
        <f t="shared" ref="AJ135:AP135" si="21">SUM(AJ4:AJ134)</f>
        <v>11706100</v>
      </c>
      <c r="AK135" s="892">
        <f t="shared" si="21"/>
        <v>11706100</v>
      </c>
      <c r="AL135" s="892">
        <f t="shared" si="21"/>
        <v>0</v>
      </c>
      <c r="AM135" s="892">
        <f t="shared" si="21"/>
        <v>83804936</v>
      </c>
      <c r="AN135" s="892">
        <f t="shared" si="21"/>
        <v>222876548</v>
      </c>
      <c r="AO135" s="892">
        <f t="shared" si="21"/>
        <v>0</v>
      </c>
      <c r="AP135" s="892">
        <f t="shared" si="21"/>
        <v>306681484</v>
      </c>
      <c r="AQ135" s="892"/>
      <c r="AR135" s="892">
        <f>SUM(AR4:AR134)</f>
        <v>175551989</v>
      </c>
      <c r="AS135" s="892">
        <f>SUM(AS4:AS134)</f>
        <v>131129495</v>
      </c>
    </row>
    <row r="136" spans="1:47" x14ac:dyDescent="0.25">
      <c r="C136" s="763"/>
      <c r="AP136" s="403"/>
    </row>
    <row r="137" spans="1:47" x14ac:dyDescent="0.25">
      <c r="AP137" s="403"/>
      <c r="AR137" s="816"/>
    </row>
    <row r="138" spans="1:47" x14ac:dyDescent="0.25">
      <c r="I138" s="403"/>
      <c r="P138" s="403"/>
      <c r="X138" s="891"/>
      <c r="AF138" s="403"/>
      <c r="AH138" s="403"/>
      <c r="AP138" s="403"/>
      <c r="AR138" s="816">
        <f>AR135+AS135</f>
        <v>306681484</v>
      </c>
    </row>
    <row r="139" spans="1:47" x14ac:dyDescent="0.25">
      <c r="V139" s="403"/>
      <c r="W139" s="403"/>
      <c r="X139" s="403"/>
      <c r="Y139" s="403"/>
      <c r="Z139" s="403"/>
      <c r="AA139" s="403"/>
      <c r="AF139">
        <f>40600-33700</f>
        <v>6900</v>
      </c>
      <c r="AP139" s="891"/>
      <c r="AR139" s="816">
        <f>AP135-AR138</f>
        <v>0</v>
      </c>
    </row>
    <row r="140" spans="1:47" ht="15.75" x14ac:dyDescent="0.25">
      <c r="B140" s="764"/>
      <c r="T140" s="891"/>
      <c r="Z140" s="403"/>
      <c r="AA140" s="403"/>
    </row>
    <row r="141" spans="1:47" x14ac:dyDescent="0.25">
      <c r="C141" s="763"/>
      <c r="AP141" s="403"/>
    </row>
    <row r="143" spans="1:47" x14ac:dyDescent="0.25">
      <c r="K143" s="403"/>
    </row>
    <row r="144" spans="1:47" x14ac:dyDescent="0.25">
      <c r="A144" s="753"/>
      <c r="B144" s="753" t="s">
        <v>755</v>
      </c>
      <c r="C144" s="765" t="s">
        <v>756</v>
      </c>
      <c r="D144" s="597"/>
    </row>
    <row r="145" spans="3:25" ht="45" x14ac:dyDescent="0.25">
      <c r="C145" s="766" t="s">
        <v>757</v>
      </c>
      <c r="D145" s="783" t="s">
        <v>758</v>
      </c>
    </row>
    <row r="146" spans="3:25" ht="30" x14ac:dyDescent="0.25">
      <c r="C146" s="766" t="s">
        <v>759</v>
      </c>
      <c r="D146" s="784" t="s">
        <v>760</v>
      </c>
    </row>
    <row r="153" spans="3:25" x14ac:dyDescent="0.25">
      <c r="Y153" s="891"/>
    </row>
  </sheetData>
  <mergeCells count="39">
    <mergeCell ref="AU1:AU3"/>
    <mergeCell ref="AM2:AO2"/>
    <mergeCell ref="AP2:AP3"/>
    <mergeCell ref="AR1:AR3"/>
    <mergeCell ref="AS1:AS3"/>
    <mergeCell ref="AT1:AT3"/>
    <mergeCell ref="AQ1:AQ3"/>
    <mergeCell ref="AM1:AP1"/>
    <mergeCell ref="Y1:Z1"/>
    <mergeCell ref="A135:B135"/>
    <mergeCell ref="U2:V2"/>
    <mergeCell ref="W2:X2"/>
    <mergeCell ref="Y2:Z2"/>
    <mergeCell ref="A1:A3"/>
    <mergeCell ref="B1:B3"/>
    <mergeCell ref="C1:C3"/>
    <mergeCell ref="D1:F1"/>
    <mergeCell ref="G1:H1"/>
    <mergeCell ref="I1:J1"/>
    <mergeCell ref="D2:F2"/>
    <mergeCell ref="G2:H2"/>
    <mergeCell ref="I2:J2"/>
    <mergeCell ref="K2:L2"/>
    <mergeCell ref="M2:N2"/>
    <mergeCell ref="U1:V1"/>
    <mergeCell ref="O2:P2"/>
    <mergeCell ref="Q2:R2"/>
    <mergeCell ref="S2:T2"/>
    <mergeCell ref="W1:X1"/>
    <mergeCell ref="K1:L1"/>
    <mergeCell ref="M1:N1"/>
    <mergeCell ref="O1:P1"/>
    <mergeCell ref="Q1:R1"/>
    <mergeCell ref="S1:T1"/>
    <mergeCell ref="AE2:AE3"/>
    <mergeCell ref="AF2:AH2"/>
    <mergeCell ref="AB1:AE1"/>
    <mergeCell ref="AF1:AH1"/>
    <mergeCell ref="AB2:A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O43"/>
  <sheetViews>
    <sheetView topLeftCell="A19" zoomScale="98" zoomScaleNormal="98" workbookViewId="0">
      <selection activeCell="I39" sqref="A1:I39"/>
    </sheetView>
  </sheetViews>
  <sheetFormatPr defaultRowHeight="12.75" x14ac:dyDescent="0.2"/>
  <cols>
    <col min="1" max="1" width="9.28515625" customWidth="1"/>
    <col min="2" max="2" width="103.85546875" customWidth="1"/>
    <col min="3" max="4" width="0" hidden="1" customWidth="1"/>
    <col min="5" max="5" width="19.42578125" customWidth="1"/>
    <col min="6" max="6" width="20.5703125" customWidth="1"/>
    <col min="7" max="7" width="17.85546875" customWidth="1"/>
    <col min="8" max="8" width="17.28515625" customWidth="1"/>
    <col min="9" max="9" width="25.5703125" customWidth="1"/>
    <col min="10" max="10" width="17.140625" customWidth="1"/>
    <col min="12" max="12" width="11.140625" bestFit="1" customWidth="1"/>
    <col min="13" max="13" width="27.28515625" customWidth="1"/>
    <col min="14" max="14" width="18.85546875" bestFit="1" customWidth="1"/>
    <col min="15" max="15" width="15.5703125" customWidth="1"/>
    <col min="256" max="257" width="0" hidden="1" customWidth="1"/>
    <col min="258" max="264" width="19.28515625" customWidth="1"/>
    <col min="265" max="265" width="18.7109375" bestFit="1" customWidth="1"/>
    <col min="272" max="272" width="27.28515625" customWidth="1"/>
    <col min="510" max="510" width="9.28515625" customWidth="1"/>
    <col min="511" max="511" width="103.85546875" customWidth="1"/>
    <col min="512" max="513" width="0" hidden="1" customWidth="1"/>
    <col min="514" max="520" width="19.28515625" customWidth="1"/>
    <col min="521" max="521" width="18.7109375" bestFit="1" customWidth="1"/>
    <col min="528" max="528" width="27.28515625" customWidth="1"/>
    <col min="766" max="766" width="9.28515625" customWidth="1"/>
    <col min="767" max="767" width="103.85546875" customWidth="1"/>
    <col min="768" max="769" width="0" hidden="1" customWidth="1"/>
    <col min="770" max="776" width="19.28515625" customWidth="1"/>
    <col min="777" max="777" width="18.7109375" bestFit="1" customWidth="1"/>
    <col min="784" max="784" width="27.28515625" customWidth="1"/>
    <col min="1022" max="1022" width="9.28515625" customWidth="1"/>
    <col min="1023" max="1023" width="103.85546875" customWidth="1"/>
    <col min="1024" max="1025" width="0" hidden="1" customWidth="1"/>
    <col min="1026" max="1032" width="19.28515625" customWidth="1"/>
    <col min="1033" max="1033" width="18.7109375" bestFit="1" customWidth="1"/>
    <col min="1040" max="1040" width="27.28515625" customWidth="1"/>
    <col min="1278" max="1278" width="9.28515625" customWidth="1"/>
    <col min="1279" max="1279" width="103.85546875" customWidth="1"/>
    <col min="1280" max="1281" width="0" hidden="1" customWidth="1"/>
    <col min="1282" max="1288" width="19.28515625" customWidth="1"/>
    <col min="1289" max="1289" width="18.7109375" bestFit="1" customWidth="1"/>
    <col min="1296" max="1296" width="27.28515625" customWidth="1"/>
    <col min="1534" max="1534" width="9.28515625" customWidth="1"/>
    <col min="1535" max="1535" width="103.85546875" customWidth="1"/>
    <col min="1536" max="1537" width="0" hidden="1" customWidth="1"/>
    <col min="1538" max="1544" width="19.28515625" customWidth="1"/>
    <col min="1545" max="1545" width="18.7109375" bestFit="1" customWidth="1"/>
    <col min="1552" max="1552" width="27.28515625" customWidth="1"/>
    <col min="1790" max="1790" width="9.28515625" customWidth="1"/>
    <col min="1791" max="1791" width="103.85546875" customWidth="1"/>
    <col min="1792" max="1793" width="0" hidden="1" customWidth="1"/>
    <col min="1794" max="1800" width="19.28515625" customWidth="1"/>
    <col min="1801" max="1801" width="18.7109375" bestFit="1" customWidth="1"/>
    <col min="1808" max="1808" width="27.28515625" customWidth="1"/>
    <col min="2046" max="2046" width="9.28515625" customWidth="1"/>
    <col min="2047" max="2047" width="103.85546875" customWidth="1"/>
    <col min="2048" max="2049" width="0" hidden="1" customWidth="1"/>
    <col min="2050" max="2056" width="19.28515625" customWidth="1"/>
    <col min="2057" max="2057" width="18.7109375" bestFit="1" customWidth="1"/>
    <col min="2064" max="2064" width="27.28515625" customWidth="1"/>
    <col min="2302" max="2302" width="9.28515625" customWidth="1"/>
    <col min="2303" max="2303" width="103.85546875" customWidth="1"/>
    <col min="2304" max="2305" width="0" hidden="1" customWidth="1"/>
    <col min="2306" max="2312" width="19.28515625" customWidth="1"/>
    <col min="2313" max="2313" width="18.7109375" bestFit="1" customWidth="1"/>
    <col min="2320" max="2320" width="27.28515625" customWidth="1"/>
    <col min="2558" max="2558" width="9.28515625" customWidth="1"/>
    <col min="2559" max="2559" width="103.85546875" customWidth="1"/>
    <col min="2560" max="2561" width="0" hidden="1" customWidth="1"/>
    <col min="2562" max="2568" width="19.28515625" customWidth="1"/>
    <col min="2569" max="2569" width="18.7109375" bestFit="1" customWidth="1"/>
    <col min="2576" max="2576" width="27.28515625" customWidth="1"/>
    <col min="2814" max="2814" width="9.28515625" customWidth="1"/>
    <col min="2815" max="2815" width="103.85546875" customWidth="1"/>
    <col min="2816" max="2817" width="0" hidden="1" customWidth="1"/>
    <col min="2818" max="2824" width="19.28515625" customWidth="1"/>
    <col min="2825" max="2825" width="18.7109375" bestFit="1" customWidth="1"/>
    <col min="2832" max="2832" width="27.28515625" customWidth="1"/>
    <col min="3070" max="3070" width="9.28515625" customWidth="1"/>
    <col min="3071" max="3071" width="103.85546875" customWidth="1"/>
    <col min="3072" max="3073" width="0" hidden="1" customWidth="1"/>
    <col min="3074" max="3080" width="19.28515625" customWidth="1"/>
    <col min="3081" max="3081" width="18.7109375" bestFit="1" customWidth="1"/>
    <col min="3088" max="3088" width="27.28515625" customWidth="1"/>
    <col min="3326" max="3326" width="9.28515625" customWidth="1"/>
    <col min="3327" max="3327" width="103.85546875" customWidth="1"/>
    <col min="3328" max="3329" width="0" hidden="1" customWidth="1"/>
    <col min="3330" max="3336" width="19.28515625" customWidth="1"/>
    <col min="3337" max="3337" width="18.7109375" bestFit="1" customWidth="1"/>
    <col min="3344" max="3344" width="27.28515625" customWidth="1"/>
    <col min="3582" max="3582" width="9.28515625" customWidth="1"/>
    <col min="3583" max="3583" width="103.85546875" customWidth="1"/>
    <col min="3584" max="3585" width="0" hidden="1" customWidth="1"/>
    <col min="3586" max="3592" width="19.28515625" customWidth="1"/>
    <col min="3593" max="3593" width="18.7109375" bestFit="1" customWidth="1"/>
    <col min="3600" max="3600" width="27.28515625" customWidth="1"/>
    <col min="3838" max="3838" width="9.28515625" customWidth="1"/>
    <col min="3839" max="3839" width="103.85546875" customWidth="1"/>
    <col min="3840" max="3841" width="0" hidden="1" customWidth="1"/>
    <col min="3842" max="3848" width="19.28515625" customWidth="1"/>
    <col min="3849" max="3849" width="18.7109375" bestFit="1" customWidth="1"/>
    <col min="3856" max="3856" width="27.28515625" customWidth="1"/>
    <col min="4094" max="4094" width="9.28515625" customWidth="1"/>
    <col min="4095" max="4095" width="103.85546875" customWidth="1"/>
    <col min="4096" max="4097" width="0" hidden="1" customWidth="1"/>
    <col min="4098" max="4104" width="19.28515625" customWidth="1"/>
    <col min="4105" max="4105" width="18.7109375" bestFit="1" customWidth="1"/>
    <col min="4112" max="4112" width="27.28515625" customWidth="1"/>
    <col min="4350" max="4350" width="9.28515625" customWidth="1"/>
    <col min="4351" max="4351" width="103.85546875" customWidth="1"/>
    <col min="4352" max="4353" width="0" hidden="1" customWidth="1"/>
    <col min="4354" max="4360" width="19.28515625" customWidth="1"/>
    <col min="4361" max="4361" width="18.7109375" bestFit="1" customWidth="1"/>
    <col min="4368" max="4368" width="27.28515625" customWidth="1"/>
    <col min="4606" max="4606" width="9.28515625" customWidth="1"/>
    <col min="4607" max="4607" width="103.85546875" customWidth="1"/>
    <col min="4608" max="4609" width="0" hidden="1" customWidth="1"/>
    <col min="4610" max="4616" width="19.28515625" customWidth="1"/>
    <col min="4617" max="4617" width="18.7109375" bestFit="1" customWidth="1"/>
    <col min="4624" max="4624" width="27.28515625" customWidth="1"/>
    <col min="4862" max="4862" width="9.28515625" customWidth="1"/>
    <col min="4863" max="4863" width="103.85546875" customWidth="1"/>
    <col min="4864" max="4865" width="0" hidden="1" customWidth="1"/>
    <col min="4866" max="4872" width="19.28515625" customWidth="1"/>
    <col min="4873" max="4873" width="18.7109375" bestFit="1" customWidth="1"/>
    <col min="4880" max="4880" width="27.28515625" customWidth="1"/>
    <col min="5118" max="5118" width="9.28515625" customWidth="1"/>
    <col min="5119" max="5119" width="103.85546875" customWidth="1"/>
    <col min="5120" max="5121" width="0" hidden="1" customWidth="1"/>
    <col min="5122" max="5128" width="19.28515625" customWidth="1"/>
    <col min="5129" max="5129" width="18.7109375" bestFit="1" customWidth="1"/>
    <col min="5136" max="5136" width="27.28515625" customWidth="1"/>
    <col min="5374" max="5374" width="9.28515625" customWidth="1"/>
    <col min="5375" max="5375" width="103.85546875" customWidth="1"/>
    <col min="5376" max="5377" width="0" hidden="1" customWidth="1"/>
    <col min="5378" max="5384" width="19.28515625" customWidth="1"/>
    <col min="5385" max="5385" width="18.7109375" bestFit="1" customWidth="1"/>
    <col min="5392" max="5392" width="27.28515625" customWidth="1"/>
    <col min="5630" max="5630" width="9.28515625" customWidth="1"/>
    <col min="5631" max="5631" width="103.85546875" customWidth="1"/>
    <col min="5632" max="5633" width="0" hidden="1" customWidth="1"/>
    <col min="5634" max="5640" width="19.28515625" customWidth="1"/>
    <col min="5641" max="5641" width="18.7109375" bestFit="1" customWidth="1"/>
    <col min="5648" max="5648" width="27.28515625" customWidth="1"/>
    <col min="5886" max="5886" width="9.28515625" customWidth="1"/>
    <col min="5887" max="5887" width="103.85546875" customWidth="1"/>
    <col min="5888" max="5889" width="0" hidden="1" customWidth="1"/>
    <col min="5890" max="5896" width="19.28515625" customWidth="1"/>
    <col min="5897" max="5897" width="18.7109375" bestFit="1" customWidth="1"/>
    <col min="5904" max="5904" width="27.28515625" customWidth="1"/>
    <col min="6142" max="6142" width="9.28515625" customWidth="1"/>
    <col min="6143" max="6143" width="103.85546875" customWidth="1"/>
    <col min="6144" max="6145" width="0" hidden="1" customWidth="1"/>
    <col min="6146" max="6152" width="19.28515625" customWidth="1"/>
    <col min="6153" max="6153" width="18.7109375" bestFit="1" customWidth="1"/>
    <col min="6160" max="6160" width="27.28515625" customWidth="1"/>
    <col min="6398" max="6398" width="9.28515625" customWidth="1"/>
    <col min="6399" max="6399" width="103.85546875" customWidth="1"/>
    <col min="6400" max="6401" width="0" hidden="1" customWidth="1"/>
    <col min="6402" max="6408" width="19.28515625" customWidth="1"/>
    <col min="6409" max="6409" width="18.7109375" bestFit="1" customWidth="1"/>
    <col min="6416" max="6416" width="27.28515625" customWidth="1"/>
    <col min="6654" max="6654" width="9.28515625" customWidth="1"/>
    <col min="6655" max="6655" width="103.85546875" customWidth="1"/>
    <col min="6656" max="6657" width="0" hidden="1" customWidth="1"/>
    <col min="6658" max="6664" width="19.28515625" customWidth="1"/>
    <col min="6665" max="6665" width="18.7109375" bestFit="1" customWidth="1"/>
    <col min="6672" max="6672" width="27.28515625" customWidth="1"/>
    <col min="6910" max="6910" width="9.28515625" customWidth="1"/>
    <col min="6911" max="6911" width="103.85546875" customWidth="1"/>
    <col min="6912" max="6913" width="0" hidden="1" customWidth="1"/>
    <col min="6914" max="6920" width="19.28515625" customWidth="1"/>
    <col min="6921" max="6921" width="18.7109375" bestFit="1" customWidth="1"/>
    <col min="6928" max="6928" width="27.28515625" customWidth="1"/>
    <col min="7166" max="7166" width="9.28515625" customWidth="1"/>
    <col min="7167" max="7167" width="103.85546875" customWidth="1"/>
    <col min="7168" max="7169" width="0" hidden="1" customWidth="1"/>
    <col min="7170" max="7176" width="19.28515625" customWidth="1"/>
    <col min="7177" max="7177" width="18.7109375" bestFit="1" customWidth="1"/>
    <col min="7184" max="7184" width="27.28515625" customWidth="1"/>
    <col min="7422" max="7422" width="9.28515625" customWidth="1"/>
    <col min="7423" max="7423" width="103.85546875" customWidth="1"/>
    <col min="7424" max="7425" width="0" hidden="1" customWidth="1"/>
    <col min="7426" max="7432" width="19.28515625" customWidth="1"/>
    <col min="7433" max="7433" width="18.7109375" bestFit="1" customWidth="1"/>
    <col min="7440" max="7440" width="27.28515625" customWidth="1"/>
    <col min="7678" max="7678" width="9.28515625" customWidth="1"/>
    <col min="7679" max="7679" width="103.85546875" customWidth="1"/>
    <col min="7680" max="7681" width="0" hidden="1" customWidth="1"/>
    <col min="7682" max="7688" width="19.28515625" customWidth="1"/>
    <col min="7689" max="7689" width="18.7109375" bestFit="1" customWidth="1"/>
    <col min="7696" max="7696" width="27.28515625" customWidth="1"/>
    <col min="7934" max="7934" width="9.28515625" customWidth="1"/>
    <col min="7935" max="7935" width="103.85546875" customWidth="1"/>
    <col min="7936" max="7937" width="0" hidden="1" customWidth="1"/>
    <col min="7938" max="7944" width="19.28515625" customWidth="1"/>
    <col min="7945" max="7945" width="18.7109375" bestFit="1" customWidth="1"/>
    <col min="7952" max="7952" width="27.28515625" customWidth="1"/>
    <col min="8190" max="8190" width="9.28515625" customWidth="1"/>
    <col min="8191" max="8191" width="103.85546875" customWidth="1"/>
    <col min="8192" max="8193" width="0" hidden="1" customWidth="1"/>
    <col min="8194" max="8200" width="19.28515625" customWidth="1"/>
    <col min="8201" max="8201" width="18.7109375" bestFit="1" customWidth="1"/>
    <col min="8208" max="8208" width="27.28515625" customWidth="1"/>
    <col min="8446" max="8446" width="9.28515625" customWidth="1"/>
    <col min="8447" max="8447" width="103.85546875" customWidth="1"/>
    <col min="8448" max="8449" width="0" hidden="1" customWidth="1"/>
    <col min="8450" max="8456" width="19.28515625" customWidth="1"/>
    <col min="8457" max="8457" width="18.7109375" bestFit="1" customWidth="1"/>
    <col min="8464" max="8464" width="27.28515625" customWidth="1"/>
    <col min="8702" max="8702" width="9.28515625" customWidth="1"/>
    <col min="8703" max="8703" width="103.85546875" customWidth="1"/>
    <col min="8704" max="8705" width="0" hidden="1" customWidth="1"/>
    <col min="8706" max="8712" width="19.28515625" customWidth="1"/>
    <col min="8713" max="8713" width="18.7109375" bestFit="1" customWidth="1"/>
    <col min="8720" max="8720" width="27.28515625" customWidth="1"/>
    <col min="8958" max="8958" width="9.28515625" customWidth="1"/>
    <col min="8959" max="8959" width="103.85546875" customWidth="1"/>
    <col min="8960" max="8961" width="0" hidden="1" customWidth="1"/>
    <col min="8962" max="8968" width="19.28515625" customWidth="1"/>
    <col min="8969" max="8969" width="18.7109375" bestFit="1" customWidth="1"/>
    <col min="8976" max="8976" width="27.28515625" customWidth="1"/>
    <col min="9214" max="9214" width="9.28515625" customWidth="1"/>
    <col min="9215" max="9215" width="103.85546875" customWidth="1"/>
    <col min="9216" max="9217" width="0" hidden="1" customWidth="1"/>
    <col min="9218" max="9224" width="19.28515625" customWidth="1"/>
    <col min="9225" max="9225" width="18.7109375" bestFit="1" customWidth="1"/>
    <col min="9232" max="9232" width="27.28515625" customWidth="1"/>
    <col min="9470" max="9470" width="9.28515625" customWidth="1"/>
    <col min="9471" max="9471" width="103.85546875" customWidth="1"/>
    <col min="9472" max="9473" width="0" hidden="1" customWidth="1"/>
    <col min="9474" max="9480" width="19.28515625" customWidth="1"/>
    <col min="9481" max="9481" width="18.7109375" bestFit="1" customWidth="1"/>
    <col min="9488" max="9488" width="27.28515625" customWidth="1"/>
    <col min="9726" max="9726" width="9.28515625" customWidth="1"/>
    <col min="9727" max="9727" width="103.85546875" customWidth="1"/>
    <col min="9728" max="9729" width="0" hidden="1" customWidth="1"/>
    <col min="9730" max="9736" width="19.28515625" customWidth="1"/>
    <col min="9737" max="9737" width="18.7109375" bestFit="1" customWidth="1"/>
    <col min="9744" max="9744" width="27.28515625" customWidth="1"/>
    <col min="9982" max="9982" width="9.28515625" customWidth="1"/>
    <col min="9983" max="9983" width="103.85546875" customWidth="1"/>
    <col min="9984" max="9985" width="0" hidden="1" customWidth="1"/>
    <col min="9986" max="9992" width="19.28515625" customWidth="1"/>
    <col min="9993" max="9993" width="18.7109375" bestFit="1" customWidth="1"/>
    <col min="10000" max="10000" width="27.28515625" customWidth="1"/>
    <col min="10238" max="10238" width="9.28515625" customWidth="1"/>
    <col min="10239" max="10239" width="103.85546875" customWidth="1"/>
    <col min="10240" max="10241" width="0" hidden="1" customWidth="1"/>
    <col min="10242" max="10248" width="19.28515625" customWidth="1"/>
    <col min="10249" max="10249" width="18.7109375" bestFit="1" customWidth="1"/>
    <col min="10256" max="10256" width="27.28515625" customWidth="1"/>
    <col min="10494" max="10494" width="9.28515625" customWidth="1"/>
    <col min="10495" max="10495" width="103.85546875" customWidth="1"/>
    <col min="10496" max="10497" width="0" hidden="1" customWidth="1"/>
    <col min="10498" max="10504" width="19.28515625" customWidth="1"/>
    <col min="10505" max="10505" width="18.7109375" bestFit="1" customWidth="1"/>
    <col min="10512" max="10512" width="27.28515625" customWidth="1"/>
    <col min="10750" max="10750" width="9.28515625" customWidth="1"/>
    <col min="10751" max="10751" width="103.85546875" customWidth="1"/>
    <col min="10752" max="10753" width="0" hidden="1" customWidth="1"/>
    <col min="10754" max="10760" width="19.28515625" customWidth="1"/>
    <col min="10761" max="10761" width="18.7109375" bestFit="1" customWidth="1"/>
    <col min="10768" max="10768" width="27.28515625" customWidth="1"/>
    <col min="11006" max="11006" width="9.28515625" customWidth="1"/>
    <col min="11007" max="11007" width="103.85546875" customWidth="1"/>
    <col min="11008" max="11009" width="0" hidden="1" customWidth="1"/>
    <col min="11010" max="11016" width="19.28515625" customWidth="1"/>
    <col min="11017" max="11017" width="18.7109375" bestFit="1" customWidth="1"/>
    <col min="11024" max="11024" width="27.28515625" customWidth="1"/>
    <col min="11262" max="11262" width="9.28515625" customWidth="1"/>
    <col min="11263" max="11263" width="103.85546875" customWidth="1"/>
    <col min="11264" max="11265" width="0" hidden="1" customWidth="1"/>
    <col min="11266" max="11272" width="19.28515625" customWidth="1"/>
    <col min="11273" max="11273" width="18.7109375" bestFit="1" customWidth="1"/>
    <col min="11280" max="11280" width="27.28515625" customWidth="1"/>
    <col min="11518" max="11518" width="9.28515625" customWidth="1"/>
    <col min="11519" max="11519" width="103.85546875" customWidth="1"/>
    <col min="11520" max="11521" width="0" hidden="1" customWidth="1"/>
    <col min="11522" max="11528" width="19.28515625" customWidth="1"/>
    <col min="11529" max="11529" width="18.7109375" bestFit="1" customWidth="1"/>
    <col min="11536" max="11536" width="27.28515625" customWidth="1"/>
    <col min="11774" max="11774" width="9.28515625" customWidth="1"/>
    <col min="11775" max="11775" width="103.85546875" customWidth="1"/>
    <col min="11776" max="11777" width="0" hidden="1" customWidth="1"/>
    <col min="11778" max="11784" width="19.28515625" customWidth="1"/>
    <col min="11785" max="11785" width="18.7109375" bestFit="1" customWidth="1"/>
    <col min="11792" max="11792" width="27.28515625" customWidth="1"/>
    <col min="12030" max="12030" width="9.28515625" customWidth="1"/>
    <col min="12031" max="12031" width="103.85546875" customWidth="1"/>
    <col min="12032" max="12033" width="0" hidden="1" customWidth="1"/>
    <col min="12034" max="12040" width="19.28515625" customWidth="1"/>
    <col min="12041" max="12041" width="18.7109375" bestFit="1" customWidth="1"/>
    <col min="12048" max="12048" width="27.28515625" customWidth="1"/>
    <col min="12286" max="12286" width="9.28515625" customWidth="1"/>
    <col min="12287" max="12287" width="103.85546875" customWidth="1"/>
    <col min="12288" max="12289" width="0" hidden="1" customWidth="1"/>
    <col min="12290" max="12296" width="19.28515625" customWidth="1"/>
    <col min="12297" max="12297" width="18.7109375" bestFit="1" customWidth="1"/>
    <col min="12304" max="12304" width="27.28515625" customWidth="1"/>
    <col min="12542" max="12542" width="9.28515625" customWidth="1"/>
    <col min="12543" max="12543" width="103.85546875" customWidth="1"/>
    <col min="12544" max="12545" width="0" hidden="1" customWidth="1"/>
    <col min="12546" max="12552" width="19.28515625" customWidth="1"/>
    <col min="12553" max="12553" width="18.7109375" bestFit="1" customWidth="1"/>
    <col min="12560" max="12560" width="27.28515625" customWidth="1"/>
    <col min="12798" max="12798" width="9.28515625" customWidth="1"/>
    <col min="12799" max="12799" width="103.85546875" customWidth="1"/>
    <col min="12800" max="12801" width="0" hidden="1" customWidth="1"/>
    <col min="12802" max="12808" width="19.28515625" customWidth="1"/>
    <col min="12809" max="12809" width="18.7109375" bestFit="1" customWidth="1"/>
    <col min="12816" max="12816" width="27.28515625" customWidth="1"/>
    <col min="13054" max="13054" width="9.28515625" customWidth="1"/>
    <col min="13055" max="13055" width="103.85546875" customWidth="1"/>
    <col min="13056" max="13057" width="0" hidden="1" customWidth="1"/>
    <col min="13058" max="13064" width="19.28515625" customWidth="1"/>
    <col min="13065" max="13065" width="18.7109375" bestFit="1" customWidth="1"/>
    <col min="13072" max="13072" width="27.28515625" customWidth="1"/>
    <col min="13310" max="13310" width="9.28515625" customWidth="1"/>
    <col min="13311" max="13311" width="103.85546875" customWidth="1"/>
    <col min="13312" max="13313" width="0" hidden="1" customWidth="1"/>
    <col min="13314" max="13320" width="19.28515625" customWidth="1"/>
    <col min="13321" max="13321" width="18.7109375" bestFit="1" customWidth="1"/>
    <col min="13328" max="13328" width="27.28515625" customWidth="1"/>
    <col min="13566" max="13566" width="9.28515625" customWidth="1"/>
    <col min="13567" max="13567" width="103.85546875" customWidth="1"/>
    <col min="13568" max="13569" width="0" hidden="1" customWidth="1"/>
    <col min="13570" max="13576" width="19.28515625" customWidth="1"/>
    <col min="13577" max="13577" width="18.7109375" bestFit="1" customWidth="1"/>
    <col min="13584" max="13584" width="27.28515625" customWidth="1"/>
    <col min="13822" max="13822" width="9.28515625" customWidth="1"/>
    <col min="13823" max="13823" width="103.85546875" customWidth="1"/>
    <col min="13824" max="13825" width="0" hidden="1" customWidth="1"/>
    <col min="13826" max="13832" width="19.28515625" customWidth="1"/>
    <col min="13833" max="13833" width="18.7109375" bestFit="1" customWidth="1"/>
    <col min="13840" max="13840" width="27.28515625" customWidth="1"/>
    <col min="14078" max="14078" width="9.28515625" customWidth="1"/>
    <col min="14079" max="14079" width="103.85546875" customWidth="1"/>
    <col min="14080" max="14081" width="0" hidden="1" customWidth="1"/>
    <col min="14082" max="14088" width="19.28515625" customWidth="1"/>
    <col min="14089" max="14089" width="18.7109375" bestFit="1" customWidth="1"/>
    <col min="14096" max="14096" width="27.28515625" customWidth="1"/>
    <col min="14334" max="14334" width="9.28515625" customWidth="1"/>
    <col min="14335" max="14335" width="103.85546875" customWidth="1"/>
    <col min="14336" max="14337" width="0" hidden="1" customWidth="1"/>
    <col min="14338" max="14344" width="19.28515625" customWidth="1"/>
    <col min="14345" max="14345" width="18.7109375" bestFit="1" customWidth="1"/>
    <col min="14352" max="14352" width="27.28515625" customWidth="1"/>
    <col min="14590" max="14590" width="9.28515625" customWidth="1"/>
    <col min="14591" max="14591" width="103.85546875" customWidth="1"/>
    <col min="14592" max="14593" width="0" hidden="1" customWidth="1"/>
    <col min="14594" max="14600" width="19.28515625" customWidth="1"/>
    <col min="14601" max="14601" width="18.7109375" bestFit="1" customWidth="1"/>
    <col min="14608" max="14608" width="27.28515625" customWidth="1"/>
    <col min="14846" max="14846" width="9.28515625" customWidth="1"/>
    <col min="14847" max="14847" width="103.85546875" customWidth="1"/>
    <col min="14848" max="14849" width="0" hidden="1" customWidth="1"/>
    <col min="14850" max="14856" width="19.28515625" customWidth="1"/>
    <col min="14857" max="14857" width="18.7109375" bestFit="1" customWidth="1"/>
    <col min="14864" max="14864" width="27.28515625" customWidth="1"/>
    <col min="15102" max="15102" width="9.28515625" customWidth="1"/>
    <col min="15103" max="15103" width="103.85546875" customWidth="1"/>
    <col min="15104" max="15105" width="0" hidden="1" customWidth="1"/>
    <col min="15106" max="15112" width="19.28515625" customWidth="1"/>
    <col min="15113" max="15113" width="18.7109375" bestFit="1" customWidth="1"/>
    <col min="15120" max="15120" width="27.28515625" customWidth="1"/>
    <col min="15358" max="15358" width="9.28515625" customWidth="1"/>
    <col min="15359" max="15359" width="103.85546875" customWidth="1"/>
    <col min="15360" max="15361" width="0" hidden="1" customWidth="1"/>
    <col min="15362" max="15368" width="19.28515625" customWidth="1"/>
    <col min="15369" max="15369" width="18.7109375" bestFit="1" customWidth="1"/>
    <col min="15376" max="15376" width="27.28515625" customWidth="1"/>
    <col min="15614" max="15614" width="9.28515625" customWidth="1"/>
    <col min="15615" max="15615" width="103.85546875" customWidth="1"/>
    <col min="15616" max="15617" width="0" hidden="1" customWidth="1"/>
    <col min="15618" max="15624" width="19.28515625" customWidth="1"/>
    <col min="15625" max="15625" width="18.7109375" bestFit="1" customWidth="1"/>
    <col min="15632" max="15632" width="27.28515625" customWidth="1"/>
    <col min="15870" max="15870" width="9.28515625" customWidth="1"/>
    <col min="15871" max="15871" width="103.85546875" customWidth="1"/>
    <col min="15872" max="15873" width="0" hidden="1" customWidth="1"/>
    <col min="15874" max="15880" width="19.28515625" customWidth="1"/>
    <col min="15881" max="15881" width="18.7109375" bestFit="1" customWidth="1"/>
    <col min="15888" max="15888" width="27.28515625" customWidth="1"/>
    <col min="16126" max="16126" width="9.28515625" customWidth="1"/>
    <col min="16127" max="16127" width="103.85546875" customWidth="1"/>
    <col min="16128" max="16129" width="0" hidden="1" customWidth="1"/>
    <col min="16130" max="16136" width="19.28515625" customWidth="1"/>
    <col min="16137" max="16137" width="18.7109375" bestFit="1" customWidth="1"/>
    <col min="16144" max="16144" width="27.28515625" customWidth="1"/>
  </cols>
  <sheetData>
    <row r="1" spans="1:14" ht="15.75" customHeight="1" x14ac:dyDescent="0.25">
      <c r="A1" s="1039" t="s">
        <v>136</v>
      </c>
      <c r="B1" s="1011"/>
      <c r="C1" s="1011"/>
      <c r="D1" s="1011"/>
      <c r="E1" s="1011"/>
      <c r="F1" s="1011"/>
      <c r="G1" s="1011"/>
      <c r="H1" s="1011"/>
      <c r="I1" s="1011"/>
    </row>
    <row r="2" spans="1:14" ht="13.5" customHeight="1" x14ac:dyDescent="0.25">
      <c r="A2" s="1039" t="s">
        <v>806</v>
      </c>
      <c r="B2" s="1011"/>
      <c r="C2" s="1011"/>
      <c r="D2" s="1011"/>
      <c r="E2" s="1011"/>
      <c r="F2" s="1011"/>
      <c r="G2" s="1011"/>
      <c r="H2" s="1011"/>
      <c r="I2" s="1011"/>
    </row>
    <row r="3" spans="1:14" ht="20.25" customHeight="1" thickBot="1" x14ac:dyDescent="0.25"/>
    <row r="4" spans="1:14" ht="36" customHeight="1" x14ac:dyDescent="0.25">
      <c r="A4" s="60"/>
      <c r="B4" s="61" t="s">
        <v>140</v>
      </c>
      <c r="C4" s="62"/>
      <c r="D4" s="62"/>
      <c r="E4" s="52" t="s">
        <v>807</v>
      </c>
      <c r="F4" s="63" t="s">
        <v>808</v>
      </c>
      <c r="G4" s="63" t="s">
        <v>809</v>
      </c>
      <c r="H4" s="63" t="s">
        <v>810</v>
      </c>
      <c r="I4" s="63" t="s">
        <v>811</v>
      </c>
    </row>
    <row r="5" spans="1:14" ht="15.75" x14ac:dyDescent="0.25">
      <c r="A5" s="202" t="s">
        <v>173</v>
      </c>
      <c r="B5" s="258" t="s">
        <v>31</v>
      </c>
      <c r="C5" s="204"/>
      <c r="D5" s="204"/>
      <c r="E5" s="394">
        <v>21690</v>
      </c>
      <c r="F5" s="395">
        <v>27707</v>
      </c>
      <c r="G5" s="395">
        <v>4374</v>
      </c>
      <c r="H5" s="769">
        <f t="shared" ref="H5:H16" si="0">F5+G5</f>
        <v>32081</v>
      </c>
      <c r="I5" s="843">
        <v>24732</v>
      </c>
      <c r="J5" s="752"/>
      <c r="K5" s="54"/>
      <c r="N5" s="392"/>
    </row>
    <row r="6" spans="1:14" ht="15.75" x14ac:dyDescent="0.25">
      <c r="A6" s="202" t="s">
        <v>174</v>
      </c>
      <c r="B6" s="258" t="s">
        <v>27</v>
      </c>
      <c r="C6" s="204"/>
      <c r="D6" s="204"/>
      <c r="E6" s="394">
        <v>2979</v>
      </c>
      <c r="F6" s="375">
        <v>3132</v>
      </c>
      <c r="G6" s="375">
        <v>1099</v>
      </c>
      <c r="H6" s="769">
        <f t="shared" si="0"/>
        <v>4231</v>
      </c>
      <c r="I6" s="843">
        <v>2444</v>
      </c>
      <c r="N6" s="392"/>
    </row>
    <row r="7" spans="1:14" ht="15.75" x14ac:dyDescent="0.25">
      <c r="A7" s="202" t="s">
        <v>175</v>
      </c>
      <c r="B7" s="258" t="s">
        <v>28</v>
      </c>
      <c r="C7" s="204"/>
      <c r="D7" s="204"/>
      <c r="E7" s="394">
        <v>11244</v>
      </c>
      <c r="F7" s="375">
        <v>7223</v>
      </c>
      <c r="G7" s="375">
        <v>4669</v>
      </c>
      <c r="H7" s="769">
        <f t="shared" si="0"/>
        <v>11892</v>
      </c>
      <c r="I7" s="395">
        <v>6123</v>
      </c>
      <c r="J7" s="813"/>
      <c r="N7" s="392"/>
    </row>
    <row r="8" spans="1:14" ht="31.5" x14ac:dyDescent="0.25">
      <c r="A8" s="202" t="s">
        <v>175</v>
      </c>
      <c r="B8" s="258" t="s">
        <v>653</v>
      </c>
      <c r="C8" s="204"/>
      <c r="D8" s="204"/>
      <c r="E8" s="394">
        <v>19935</v>
      </c>
      <c r="F8" s="375">
        <v>70</v>
      </c>
      <c r="G8" s="375">
        <v>7415</v>
      </c>
      <c r="H8" s="769">
        <f t="shared" si="0"/>
        <v>7485</v>
      </c>
      <c r="I8" s="395"/>
      <c r="N8" s="392"/>
    </row>
    <row r="9" spans="1:14" ht="38.25" customHeight="1" x14ac:dyDescent="0.25">
      <c r="A9" s="202" t="s">
        <v>175</v>
      </c>
      <c r="B9" s="258" t="s">
        <v>654</v>
      </c>
      <c r="C9" s="204"/>
      <c r="D9" s="204"/>
      <c r="E9" s="394">
        <v>48758</v>
      </c>
      <c r="F9" s="375">
        <v>43483</v>
      </c>
      <c r="G9" s="375">
        <v>11016</v>
      </c>
      <c r="H9" s="769">
        <f t="shared" si="0"/>
        <v>54499</v>
      </c>
      <c r="I9" s="843">
        <v>44406</v>
      </c>
      <c r="N9" s="392"/>
    </row>
    <row r="10" spans="1:14" ht="54.75" customHeight="1" x14ac:dyDescent="0.25">
      <c r="A10" s="202" t="s">
        <v>411</v>
      </c>
      <c r="B10" s="258" t="s">
        <v>655</v>
      </c>
      <c r="C10" s="204"/>
      <c r="D10" s="204"/>
      <c r="E10" s="394">
        <v>11622</v>
      </c>
      <c r="F10" s="375">
        <v>7572</v>
      </c>
      <c r="G10" s="375">
        <v>8989</v>
      </c>
      <c r="H10" s="769">
        <f t="shared" si="0"/>
        <v>16561</v>
      </c>
      <c r="I10" s="843">
        <v>4604</v>
      </c>
      <c r="N10" s="403"/>
    </row>
    <row r="11" spans="1:14" ht="15.75" x14ac:dyDescent="0.25">
      <c r="A11" s="202"/>
      <c r="B11" s="258" t="s">
        <v>29</v>
      </c>
      <c r="C11" s="204"/>
      <c r="D11" s="204"/>
      <c r="E11" s="394"/>
      <c r="F11" s="375"/>
      <c r="G11" s="375"/>
      <c r="H11" s="769">
        <f t="shared" si="0"/>
        <v>0</v>
      </c>
      <c r="I11" s="843"/>
    </row>
    <row r="12" spans="1:14" ht="15.75" x14ac:dyDescent="0.25">
      <c r="A12" s="202"/>
      <c r="B12" s="258" t="s">
        <v>30</v>
      </c>
      <c r="C12" s="204"/>
      <c r="D12" s="204"/>
      <c r="E12" s="394"/>
      <c r="F12" s="375"/>
      <c r="G12" s="375"/>
      <c r="H12" s="769">
        <f t="shared" si="0"/>
        <v>0</v>
      </c>
      <c r="I12" s="843"/>
    </row>
    <row r="13" spans="1:14" ht="15.75" x14ac:dyDescent="0.25">
      <c r="A13" s="202"/>
      <c r="B13" s="209" t="s">
        <v>742</v>
      </c>
      <c r="C13" s="204"/>
      <c r="D13" s="204"/>
      <c r="E13" s="394">
        <v>1000</v>
      </c>
      <c r="F13" s="375">
        <v>55958</v>
      </c>
      <c r="G13" s="375"/>
      <c r="H13" s="769">
        <f t="shared" si="0"/>
        <v>55958</v>
      </c>
      <c r="I13" s="843">
        <v>55815</v>
      </c>
    </row>
    <row r="14" spans="1:14" ht="15.75" x14ac:dyDescent="0.25">
      <c r="A14" s="202"/>
      <c r="B14" s="209" t="s">
        <v>49</v>
      </c>
      <c r="C14" s="204"/>
      <c r="D14" s="204"/>
      <c r="E14" s="394"/>
      <c r="F14" s="375"/>
      <c r="G14" s="375"/>
      <c r="H14" s="769">
        <f t="shared" si="0"/>
        <v>0</v>
      </c>
      <c r="I14" s="395"/>
    </row>
    <row r="15" spans="1:14" ht="15.75" x14ac:dyDescent="0.25">
      <c r="A15" s="202"/>
      <c r="B15" s="209" t="s">
        <v>50</v>
      </c>
      <c r="C15" s="204"/>
      <c r="D15" s="204"/>
      <c r="E15" s="394"/>
      <c r="F15" s="375"/>
      <c r="G15" s="375"/>
      <c r="H15" s="769">
        <f t="shared" si="0"/>
        <v>0</v>
      </c>
      <c r="I15" s="395"/>
    </row>
    <row r="16" spans="1:14" ht="15.75" x14ac:dyDescent="0.25">
      <c r="A16" s="202" t="s">
        <v>200</v>
      </c>
      <c r="B16" s="209" t="s">
        <v>51</v>
      </c>
      <c r="C16" s="204"/>
      <c r="D16" s="204"/>
      <c r="E16" s="394"/>
      <c r="F16" s="375"/>
      <c r="G16" s="375"/>
      <c r="H16" s="769">
        <f t="shared" si="0"/>
        <v>0</v>
      </c>
      <c r="I16" s="395"/>
    </row>
    <row r="17" spans="1:12" ht="31.5" x14ac:dyDescent="0.25">
      <c r="A17" s="202"/>
      <c r="B17" s="259" t="s">
        <v>26</v>
      </c>
      <c r="C17" s="204"/>
      <c r="D17" s="204"/>
      <c r="E17" s="396"/>
      <c r="F17" s="397"/>
      <c r="G17" s="397"/>
      <c r="H17" s="397"/>
      <c r="I17" s="397"/>
    </row>
    <row r="18" spans="1:12" ht="15.75" x14ac:dyDescent="0.25">
      <c r="A18" s="202" t="s">
        <v>200</v>
      </c>
      <c r="B18" s="257" t="s">
        <v>16</v>
      </c>
      <c r="C18" s="204"/>
      <c r="D18" s="204"/>
      <c r="E18" s="394">
        <v>347904</v>
      </c>
      <c r="F18" s="375">
        <v>70484</v>
      </c>
      <c r="G18" s="375"/>
      <c r="H18" s="768">
        <f>F18+G18</f>
        <v>70484</v>
      </c>
      <c r="I18" s="375"/>
    </row>
    <row r="19" spans="1:12" ht="15.75" x14ac:dyDescent="0.25">
      <c r="A19" s="202" t="s">
        <v>200</v>
      </c>
      <c r="B19" s="257" t="s">
        <v>17</v>
      </c>
      <c r="C19" s="204" t="s">
        <v>125</v>
      </c>
      <c r="D19" s="204"/>
      <c r="E19" s="394">
        <v>140000</v>
      </c>
      <c r="F19" s="375">
        <v>161045</v>
      </c>
      <c r="G19" s="375"/>
      <c r="H19" s="768">
        <f>F19+G19</f>
        <v>161045</v>
      </c>
      <c r="I19" s="375"/>
    </row>
    <row r="20" spans="1:12" ht="24.75" customHeight="1" x14ac:dyDescent="0.25">
      <c r="A20" s="202"/>
      <c r="B20" s="219" t="s">
        <v>6</v>
      </c>
      <c r="C20" s="253" t="e">
        <f>SUM(C5,C6,C7,C11,C12,C17,C18,C19+C8)</f>
        <v>#VALUE!</v>
      </c>
      <c r="D20" s="253">
        <f>SUM(D5,D6,D7,D11,D12,D17,D18,D19+D8)</f>
        <v>0</v>
      </c>
      <c r="E20" s="398">
        <f>E5+E6+E7+E8+E9+E10+E11+E12+E13+E14+E15+E16+E17+E18+E19</f>
        <v>605132</v>
      </c>
      <c r="F20" s="398">
        <f t="shared" ref="F20:I20" si="1">SUM(F5:F19)</f>
        <v>376674</v>
      </c>
      <c r="G20" s="398">
        <f t="shared" si="1"/>
        <v>37562</v>
      </c>
      <c r="H20" s="398">
        <f t="shared" si="1"/>
        <v>414236</v>
      </c>
      <c r="I20" s="398">
        <f t="shared" si="1"/>
        <v>138124</v>
      </c>
    </row>
    <row r="21" spans="1:12" ht="20.25" customHeight="1" x14ac:dyDescent="0.3">
      <c r="A21" s="202" t="s">
        <v>176</v>
      </c>
      <c r="B21" s="258" t="s">
        <v>498</v>
      </c>
      <c r="C21" s="204"/>
      <c r="D21" s="204"/>
      <c r="E21" s="394">
        <v>775</v>
      </c>
      <c r="F21" s="375">
        <v>910</v>
      </c>
      <c r="G21" s="375">
        <v>426</v>
      </c>
      <c r="H21" s="399">
        <f t="shared" ref="H21:H37" si="2">F21+G21</f>
        <v>1336</v>
      </c>
      <c r="I21" s="844">
        <v>521</v>
      </c>
      <c r="L21" s="53"/>
    </row>
    <row r="22" spans="1:12" ht="20.25" customHeight="1" x14ac:dyDescent="0.3">
      <c r="A22" s="202" t="s">
        <v>176</v>
      </c>
      <c r="B22" s="258" t="s">
        <v>497</v>
      </c>
      <c r="C22" s="204"/>
      <c r="D22" s="204"/>
      <c r="E22" s="394"/>
      <c r="F22" s="375">
        <v>0</v>
      </c>
      <c r="G22" s="375"/>
      <c r="H22" s="399">
        <f t="shared" si="2"/>
        <v>0</v>
      </c>
      <c r="I22" s="375"/>
      <c r="L22" s="53"/>
    </row>
    <row r="23" spans="1:12" ht="16.5" x14ac:dyDescent="0.3">
      <c r="A23" s="202" t="s">
        <v>207</v>
      </c>
      <c r="B23" s="258" t="s">
        <v>19</v>
      </c>
      <c r="C23" s="204"/>
      <c r="D23" s="204"/>
      <c r="E23" s="394"/>
      <c r="F23" s="375">
        <v>0</v>
      </c>
      <c r="G23" s="375">
        <v>0</v>
      </c>
      <c r="H23" s="399">
        <f t="shared" si="2"/>
        <v>0</v>
      </c>
      <c r="I23" s="375"/>
      <c r="L23" s="53"/>
    </row>
    <row r="24" spans="1:12" ht="16.5" x14ac:dyDescent="0.3">
      <c r="A24" s="202"/>
      <c r="B24" s="258" t="s">
        <v>21</v>
      </c>
      <c r="C24" s="204"/>
      <c r="D24" s="205" t="e">
        <f>SUM(#REF!,#REF!)</f>
        <v>#REF!</v>
      </c>
      <c r="E24" s="394"/>
      <c r="F24" s="375"/>
      <c r="G24" s="375"/>
      <c r="H24" s="399">
        <f t="shared" si="2"/>
        <v>0</v>
      </c>
      <c r="I24" s="375"/>
      <c r="L24" s="53"/>
    </row>
    <row r="25" spans="1:12" ht="48" x14ac:dyDescent="0.3">
      <c r="A25" s="202"/>
      <c r="B25" s="209" t="s">
        <v>52</v>
      </c>
      <c r="C25" s="204"/>
      <c r="D25" s="204"/>
      <c r="E25" s="394"/>
      <c r="F25" s="375">
        <v>0</v>
      </c>
      <c r="G25" s="375">
        <v>0</v>
      </c>
      <c r="H25" s="399">
        <f t="shared" si="2"/>
        <v>0</v>
      </c>
      <c r="I25" s="375"/>
      <c r="L25" s="54"/>
    </row>
    <row r="26" spans="1:12" ht="16.5" x14ac:dyDescent="0.3">
      <c r="A26" s="202"/>
      <c r="B26" s="209" t="s">
        <v>743</v>
      </c>
      <c r="C26" s="204"/>
      <c r="D26" s="204"/>
      <c r="E26" s="394"/>
      <c r="F26" s="375"/>
      <c r="G26" s="375"/>
      <c r="H26" s="399">
        <f t="shared" si="2"/>
        <v>0</v>
      </c>
      <c r="I26" s="399"/>
      <c r="L26" s="54"/>
    </row>
    <row r="27" spans="1:12" ht="16.5" x14ac:dyDescent="0.3">
      <c r="A27" s="202"/>
      <c r="B27" s="209" t="s">
        <v>53</v>
      </c>
      <c r="C27" s="204"/>
      <c r="D27" s="204"/>
      <c r="E27" s="394"/>
      <c r="F27" s="375"/>
      <c r="G27" s="375"/>
      <c r="H27" s="399">
        <f t="shared" si="2"/>
        <v>0</v>
      </c>
      <c r="I27" s="375"/>
    </row>
    <row r="28" spans="1:12" ht="16.5" x14ac:dyDescent="0.3">
      <c r="A28" s="202"/>
      <c r="B28" s="209" t="s">
        <v>54</v>
      </c>
      <c r="C28" s="204"/>
      <c r="D28" s="204"/>
      <c r="E28" s="394"/>
      <c r="F28" s="375"/>
      <c r="G28" s="375"/>
      <c r="H28" s="399">
        <f t="shared" si="2"/>
        <v>0</v>
      </c>
      <c r="I28" s="375"/>
    </row>
    <row r="29" spans="1:12" ht="16.5" x14ac:dyDescent="0.3">
      <c r="A29" s="202" t="s">
        <v>200</v>
      </c>
      <c r="B29" s="209" t="s">
        <v>55</v>
      </c>
      <c r="C29" s="204"/>
      <c r="D29" s="204"/>
      <c r="E29" s="394">
        <v>1125596</v>
      </c>
      <c r="F29" s="375"/>
      <c r="G29" s="375">
        <v>365996</v>
      </c>
      <c r="H29" s="399">
        <f t="shared" si="2"/>
        <v>365996</v>
      </c>
      <c r="I29" s="375" t="s">
        <v>347</v>
      </c>
    </row>
    <row r="30" spans="1:12" ht="16.5" x14ac:dyDescent="0.3">
      <c r="A30" s="202" t="s">
        <v>200</v>
      </c>
      <c r="B30" s="257" t="s">
        <v>33</v>
      </c>
      <c r="C30" s="204"/>
      <c r="D30" s="204"/>
      <c r="E30" s="394"/>
      <c r="F30" s="375"/>
      <c r="G30" s="375"/>
      <c r="H30" s="399">
        <f t="shared" si="2"/>
        <v>0</v>
      </c>
      <c r="I30" s="375">
        <v>0</v>
      </c>
    </row>
    <row r="31" spans="1:12" ht="16.5" x14ac:dyDescent="0.3">
      <c r="A31" s="202"/>
      <c r="B31" s="257" t="s">
        <v>32</v>
      </c>
      <c r="C31" s="205" t="s">
        <v>126</v>
      </c>
      <c r="D31" s="204">
        <v>6408</v>
      </c>
      <c r="E31" s="394"/>
      <c r="F31" s="375"/>
      <c r="G31" s="375"/>
      <c r="H31" s="399">
        <f t="shared" si="2"/>
        <v>0</v>
      </c>
      <c r="I31" s="375">
        <f>G31+H31</f>
        <v>0</v>
      </c>
    </row>
    <row r="32" spans="1:12" ht="16.5" x14ac:dyDescent="0.3">
      <c r="A32" s="202" t="s">
        <v>218</v>
      </c>
      <c r="B32" s="254" t="s">
        <v>496</v>
      </c>
      <c r="C32" s="205"/>
      <c r="D32" s="204"/>
      <c r="E32" s="400"/>
      <c r="F32" s="375"/>
      <c r="G32" s="375"/>
      <c r="H32" s="399">
        <f t="shared" si="2"/>
        <v>0</v>
      </c>
      <c r="I32" s="375">
        <v>0</v>
      </c>
    </row>
    <row r="33" spans="1:15" ht="16.5" x14ac:dyDescent="0.3">
      <c r="A33" s="202" t="s">
        <v>218</v>
      </c>
      <c r="B33" s="254" t="s">
        <v>883</v>
      </c>
      <c r="C33" s="205"/>
      <c r="D33" s="204"/>
      <c r="E33" s="400">
        <v>1000000</v>
      </c>
      <c r="F33" s="375">
        <v>1200000</v>
      </c>
      <c r="G33" s="375"/>
      <c r="H33" s="399">
        <f t="shared" si="2"/>
        <v>1200000</v>
      </c>
      <c r="I33" s="375">
        <v>3600000</v>
      </c>
    </row>
    <row r="34" spans="1:15" ht="16.5" x14ac:dyDescent="0.3">
      <c r="A34" s="202"/>
      <c r="B34" s="256" t="s">
        <v>25</v>
      </c>
      <c r="C34" s="204"/>
      <c r="D34" s="204">
        <v>17369</v>
      </c>
      <c r="E34" s="397"/>
      <c r="F34" s="397"/>
      <c r="G34" s="397"/>
      <c r="H34" s="785">
        <f t="shared" si="2"/>
        <v>0</v>
      </c>
      <c r="I34" s="397"/>
      <c r="K34" s="35"/>
    </row>
    <row r="35" spans="1:15" ht="16.5" x14ac:dyDescent="0.3">
      <c r="A35" s="202"/>
      <c r="B35" s="872" t="s">
        <v>22</v>
      </c>
      <c r="C35" s="204"/>
      <c r="D35" s="255">
        <f>SUM(D31:D34)</f>
        <v>23777</v>
      </c>
      <c r="E35" s="394"/>
      <c r="F35" s="375"/>
      <c r="G35" s="375"/>
      <c r="H35" s="399">
        <f t="shared" si="2"/>
        <v>0</v>
      </c>
      <c r="I35" s="844"/>
      <c r="K35" s="35"/>
    </row>
    <row r="36" spans="1:15" ht="16.5" x14ac:dyDescent="0.3">
      <c r="A36" s="202"/>
      <c r="B36" s="254" t="s">
        <v>24</v>
      </c>
      <c r="C36" s="204"/>
      <c r="D36" s="204"/>
      <c r="E36" s="394"/>
      <c r="F36" s="375"/>
      <c r="G36" s="375"/>
      <c r="H36" s="399">
        <f t="shared" si="2"/>
        <v>0</v>
      </c>
      <c r="I36" s="375"/>
      <c r="K36" s="35"/>
    </row>
    <row r="37" spans="1:15" ht="16.5" x14ac:dyDescent="0.3">
      <c r="A37" s="202"/>
      <c r="B37" s="254" t="s">
        <v>23</v>
      </c>
      <c r="C37" s="204"/>
      <c r="D37" s="204"/>
      <c r="E37" s="394"/>
      <c r="F37" s="375"/>
      <c r="G37" s="375"/>
      <c r="H37" s="399">
        <f t="shared" si="2"/>
        <v>0</v>
      </c>
      <c r="I37" s="375"/>
    </row>
    <row r="38" spans="1:15" ht="24" customHeight="1" x14ac:dyDescent="0.25">
      <c r="A38" s="202"/>
      <c r="B38" s="219" t="s">
        <v>7</v>
      </c>
      <c r="C38" s="253">
        <f>SUM(C21,C23,C24,C30,C31,C34,C35,C36,C37)</f>
        <v>0</v>
      </c>
      <c r="D38" s="253" t="e">
        <f>SUM(D21,D23,D24,D30,D31,D34,D35,D36,D37)</f>
        <v>#REF!</v>
      </c>
      <c r="E38" s="398">
        <f>E21+E22+E23+E24+E25+E26+E27+E28+E29+E30+E31+E32+E34+E35+E36+E37+E33</f>
        <v>2126371</v>
      </c>
      <c r="F38" s="398">
        <f t="shared" ref="F38:G38" si="3">SUM(F21:F37)</f>
        <v>1200910</v>
      </c>
      <c r="G38" s="398">
        <f t="shared" si="3"/>
        <v>366422</v>
      </c>
      <c r="H38" s="398">
        <f>SUM(H21:H37)</f>
        <v>1567332</v>
      </c>
      <c r="I38" s="398">
        <f>SUM(I21:I37)</f>
        <v>3600521</v>
      </c>
      <c r="M38" s="392"/>
      <c r="N38" s="392"/>
    </row>
    <row r="39" spans="1:15" ht="36" customHeight="1" thickBot="1" x14ac:dyDescent="0.3">
      <c r="A39" s="203"/>
      <c r="B39" s="252" t="s">
        <v>18</v>
      </c>
      <c r="C39" s="251" t="e">
        <f>SUM(C20,C38)</f>
        <v>#VALUE!</v>
      </c>
      <c r="D39" s="251" t="e">
        <f>SUM(D20,D38)</f>
        <v>#REF!</v>
      </c>
      <c r="E39" s="401">
        <f>E20+E38</f>
        <v>2731503</v>
      </c>
      <c r="F39" s="401">
        <f t="shared" ref="F39:G39" si="4">SUM(F20,F38)</f>
        <v>1577584</v>
      </c>
      <c r="G39" s="401">
        <f t="shared" si="4"/>
        <v>403984</v>
      </c>
      <c r="H39" s="402">
        <f>F39+G39</f>
        <v>1981568</v>
      </c>
      <c r="I39" s="401">
        <f>SUM(I20,I38)</f>
        <v>3738645</v>
      </c>
      <c r="M39" s="392"/>
      <c r="N39" s="392"/>
    </row>
    <row r="40" spans="1:15" x14ac:dyDescent="0.2">
      <c r="I40" s="311"/>
      <c r="N40" s="392"/>
      <c r="O40" s="392"/>
    </row>
    <row r="41" spans="1:15" x14ac:dyDescent="0.2">
      <c r="I41" s="311"/>
    </row>
    <row r="42" spans="1:15" x14ac:dyDescent="0.2">
      <c r="I42" s="311"/>
    </row>
    <row r="43" spans="1:15" x14ac:dyDescent="0.2">
      <c r="I43" s="311"/>
    </row>
  </sheetData>
  <mergeCells count="2">
    <mergeCell ref="A1:I1"/>
    <mergeCell ref="A2:I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38" orientation="portrait" r:id="rId1"/>
  <headerFooter alignWithMargins="0">
    <oddHeader>&amp;R&amp;"Bookman Old Style,Normál"3.MELLÉKLET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IU67"/>
  <sheetViews>
    <sheetView topLeftCell="A28" workbookViewId="0">
      <selection activeCell="I52" sqref="I52"/>
    </sheetView>
  </sheetViews>
  <sheetFormatPr defaultRowHeight="12.75" x14ac:dyDescent="0.2"/>
  <cols>
    <col min="1" max="1" width="41" customWidth="1"/>
    <col min="2" max="2" width="25.5703125" customWidth="1"/>
    <col min="3" max="3" width="26.7109375" customWidth="1"/>
    <col min="4" max="5" width="31" customWidth="1"/>
    <col min="6" max="6" width="29.7109375" customWidth="1"/>
    <col min="7" max="7" width="29.28515625" customWidth="1"/>
    <col min="8" max="8" width="15.5703125" customWidth="1"/>
    <col min="9" max="9" width="15.85546875" customWidth="1"/>
    <col min="11" max="11" width="12.42578125" customWidth="1"/>
    <col min="13" max="13" width="14.7109375" customWidth="1"/>
    <col min="14" max="14" width="18.28515625" customWidth="1"/>
    <col min="15" max="15" width="16.42578125" customWidth="1"/>
    <col min="257" max="257" width="41" customWidth="1"/>
    <col min="258" max="263" width="32.85546875" customWidth="1"/>
    <col min="264" max="264" width="21.28515625" customWidth="1"/>
    <col min="265" max="265" width="15.85546875" customWidth="1"/>
    <col min="267" max="267" width="12.42578125" customWidth="1"/>
    <col min="269" max="269" width="14.7109375" customWidth="1"/>
    <col min="270" max="270" width="18.28515625" customWidth="1"/>
    <col min="271" max="271" width="16.42578125" customWidth="1"/>
    <col min="513" max="513" width="41" customWidth="1"/>
    <col min="514" max="519" width="32.85546875" customWidth="1"/>
    <col min="520" max="520" width="21.28515625" customWidth="1"/>
    <col min="521" max="521" width="15.85546875" customWidth="1"/>
    <col min="523" max="523" width="12.42578125" customWidth="1"/>
    <col min="525" max="525" width="14.7109375" customWidth="1"/>
    <col min="526" max="526" width="18.28515625" customWidth="1"/>
    <col min="527" max="527" width="16.42578125" customWidth="1"/>
    <col min="769" max="769" width="41" customWidth="1"/>
    <col min="770" max="775" width="32.85546875" customWidth="1"/>
    <col min="776" max="776" width="21.28515625" customWidth="1"/>
    <col min="777" max="777" width="15.85546875" customWidth="1"/>
    <col min="779" max="779" width="12.42578125" customWidth="1"/>
    <col min="781" max="781" width="14.7109375" customWidth="1"/>
    <col min="782" max="782" width="18.28515625" customWidth="1"/>
    <col min="783" max="783" width="16.42578125" customWidth="1"/>
    <col min="1025" max="1025" width="41" customWidth="1"/>
    <col min="1026" max="1031" width="32.85546875" customWidth="1"/>
    <col min="1032" max="1032" width="21.28515625" customWidth="1"/>
    <col min="1033" max="1033" width="15.85546875" customWidth="1"/>
    <col min="1035" max="1035" width="12.42578125" customWidth="1"/>
    <col min="1037" max="1037" width="14.7109375" customWidth="1"/>
    <col min="1038" max="1038" width="18.28515625" customWidth="1"/>
    <col min="1039" max="1039" width="16.42578125" customWidth="1"/>
    <col min="1281" max="1281" width="41" customWidth="1"/>
    <col min="1282" max="1287" width="32.85546875" customWidth="1"/>
    <col min="1288" max="1288" width="21.28515625" customWidth="1"/>
    <col min="1289" max="1289" width="15.85546875" customWidth="1"/>
    <col min="1291" max="1291" width="12.42578125" customWidth="1"/>
    <col min="1293" max="1293" width="14.7109375" customWidth="1"/>
    <col min="1294" max="1294" width="18.28515625" customWidth="1"/>
    <col min="1295" max="1295" width="16.42578125" customWidth="1"/>
    <col min="1537" max="1537" width="41" customWidth="1"/>
    <col min="1538" max="1543" width="32.85546875" customWidth="1"/>
    <col min="1544" max="1544" width="21.28515625" customWidth="1"/>
    <col min="1545" max="1545" width="15.85546875" customWidth="1"/>
    <col min="1547" max="1547" width="12.42578125" customWidth="1"/>
    <col min="1549" max="1549" width="14.7109375" customWidth="1"/>
    <col min="1550" max="1550" width="18.28515625" customWidth="1"/>
    <col min="1551" max="1551" width="16.42578125" customWidth="1"/>
    <col min="1793" max="1793" width="41" customWidth="1"/>
    <col min="1794" max="1799" width="32.85546875" customWidth="1"/>
    <col min="1800" max="1800" width="21.28515625" customWidth="1"/>
    <col min="1801" max="1801" width="15.85546875" customWidth="1"/>
    <col min="1803" max="1803" width="12.42578125" customWidth="1"/>
    <col min="1805" max="1805" width="14.7109375" customWidth="1"/>
    <col min="1806" max="1806" width="18.28515625" customWidth="1"/>
    <col min="1807" max="1807" width="16.42578125" customWidth="1"/>
    <col min="2049" max="2049" width="41" customWidth="1"/>
    <col min="2050" max="2055" width="32.85546875" customWidth="1"/>
    <col min="2056" max="2056" width="21.28515625" customWidth="1"/>
    <col min="2057" max="2057" width="15.85546875" customWidth="1"/>
    <col min="2059" max="2059" width="12.42578125" customWidth="1"/>
    <col min="2061" max="2061" width="14.7109375" customWidth="1"/>
    <col min="2062" max="2062" width="18.28515625" customWidth="1"/>
    <col min="2063" max="2063" width="16.42578125" customWidth="1"/>
    <col min="2305" max="2305" width="41" customWidth="1"/>
    <col min="2306" max="2311" width="32.85546875" customWidth="1"/>
    <col min="2312" max="2312" width="21.28515625" customWidth="1"/>
    <col min="2313" max="2313" width="15.85546875" customWidth="1"/>
    <col min="2315" max="2315" width="12.42578125" customWidth="1"/>
    <col min="2317" max="2317" width="14.7109375" customWidth="1"/>
    <col min="2318" max="2318" width="18.28515625" customWidth="1"/>
    <col min="2319" max="2319" width="16.42578125" customWidth="1"/>
    <col min="2561" max="2561" width="41" customWidth="1"/>
    <col min="2562" max="2567" width="32.85546875" customWidth="1"/>
    <col min="2568" max="2568" width="21.28515625" customWidth="1"/>
    <col min="2569" max="2569" width="15.85546875" customWidth="1"/>
    <col min="2571" max="2571" width="12.42578125" customWidth="1"/>
    <col min="2573" max="2573" width="14.7109375" customWidth="1"/>
    <col min="2574" max="2574" width="18.28515625" customWidth="1"/>
    <col min="2575" max="2575" width="16.42578125" customWidth="1"/>
    <col min="2817" max="2817" width="41" customWidth="1"/>
    <col min="2818" max="2823" width="32.85546875" customWidth="1"/>
    <col min="2824" max="2824" width="21.28515625" customWidth="1"/>
    <col min="2825" max="2825" width="15.85546875" customWidth="1"/>
    <col min="2827" max="2827" width="12.42578125" customWidth="1"/>
    <col min="2829" max="2829" width="14.7109375" customWidth="1"/>
    <col min="2830" max="2830" width="18.28515625" customWidth="1"/>
    <col min="2831" max="2831" width="16.42578125" customWidth="1"/>
    <col min="3073" max="3073" width="41" customWidth="1"/>
    <col min="3074" max="3079" width="32.85546875" customWidth="1"/>
    <col min="3080" max="3080" width="21.28515625" customWidth="1"/>
    <col min="3081" max="3081" width="15.85546875" customWidth="1"/>
    <col min="3083" max="3083" width="12.42578125" customWidth="1"/>
    <col min="3085" max="3085" width="14.7109375" customWidth="1"/>
    <col min="3086" max="3086" width="18.28515625" customWidth="1"/>
    <col min="3087" max="3087" width="16.42578125" customWidth="1"/>
    <col min="3329" max="3329" width="41" customWidth="1"/>
    <col min="3330" max="3335" width="32.85546875" customWidth="1"/>
    <col min="3336" max="3336" width="21.28515625" customWidth="1"/>
    <col min="3337" max="3337" width="15.85546875" customWidth="1"/>
    <col min="3339" max="3339" width="12.42578125" customWidth="1"/>
    <col min="3341" max="3341" width="14.7109375" customWidth="1"/>
    <col min="3342" max="3342" width="18.28515625" customWidth="1"/>
    <col min="3343" max="3343" width="16.42578125" customWidth="1"/>
    <col min="3585" max="3585" width="41" customWidth="1"/>
    <col min="3586" max="3591" width="32.85546875" customWidth="1"/>
    <col min="3592" max="3592" width="21.28515625" customWidth="1"/>
    <col min="3593" max="3593" width="15.85546875" customWidth="1"/>
    <col min="3595" max="3595" width="12.42578125" customWidth="1"/>
    <col min="3597" max="3597" width="14.7109375" customWidth="1"/>
    <col min="3598" max="3598" width="18.28515625" customWidth="1"/>
    <col min="3599" max="3599" width="16.42578125" customWidth="1"/>
    <col min="3841" max="3841" width="41" customWidth="1"/>
    <col min="3842" max="3847" width="32.85546875" customWidth="1"/>
    <col min="3848" max="3848" width="21.28515625" customWidth="1"/>
    <col min="3849" max="3849" width="15.85546875" customWidth="1"/>
    <col min="3851" max="3851" width="12.42578125" customWidth="1"/>
    <col min="3853" max="3853" width="14.7109375" customWidth="1"/>
    <col min="3854" max="3854" width="18.28515625" customWidth="1"/>
    <col min="3855" max="3855" width="16.42578125" customWidth="1"/>
    <col min="4097" max="4097" width="41" customWidth="1"/>
    <col min="4098" max="4103" width="32.85546875" customWidth="1"/>
    <col min="4104" max="4104" width="21.28515625" customWidth="1"/>
    <col min="4105" max="4105" width="15.85546875" customWidth="1"/>
    <col min="4107" max="4107" width="12.42578125" customWidth="1"/>
    <col min="4109" max="4109" width="14.7109375" customWidth="1"/>
    <col min="4110" max="4110" width="18.28515625" customWidth="1"/>
    <col min="4111" max="4111" width="16.42578125" customWidth="1"/>
    <col min="4353" max="4353" width="41" customWidth="1"/>
    <col min="4354" max="4359" width="32.85546875" customWidth="1"/>
    <col min="4360" max="4360" width="21.28515625" customWidth="1"/>
    <col min="4361" max="4361" width="15.85546875" customWidth="1"/>
    <col min="4363" max="4363" width="12.42578125" customWidth="1"/>
    <col min="4365" max="4365" width="14.7109375" customWidth="1"/>
    <col min="4366" max="4366" width="18.28515625" customWidth="1"/>
    <col min="4367" max="4367" width="16.42578125" customWidth="1"/>
    <col min="4609" max="4609" width="41" customWidth="1"/>
    <col min="4610" max="4615" width="32.85546875" customWidth="1"/>
    <col min="4616" max="4616" width="21.28515625" customWidth="1"/>
    <col min="4617" max="4617" width="15.85546875" customWidth="1"/>
    <col min="4619" max="4619" width="12.42578125" customWidth="1"/>
    <col min="4621" max="4621" width="14.7109375" customWidth="1"/>
    <col min="4622" max="4622" width="18.28515625" customWidth="1"/>
    <col min="4623" max="4623" width="16.42578125" customWidth="1"/>
    <col min="4865" max="4865" width="41" customWidth="1"/>
    <col min="4866" max="4871" width="32.85546875" customWidth="1"/>
    <col min="4872" max="4872" width="21.28515625" customWidth="1"/>
    <col min="4873" max="4873" width="15.85546875" customWidth="1"/>
    <col min="4875" max="4875" width="12.42578125" customWidth="1"/>
    <col min="4877" max="4877" width="14.7109375" customWidth="1"/>
    <col min="4878" max="4878" width="18.28515625" customWidth="1"/>
    <col min="4879" max="4879" width="16.42578125" customWidth="1"/>
    <col min="5121" max="5121" width="41" customWidth="1"/>
    <col min="5122" max="5127" width="32.85546875" customWidth="1"/>
    <col min="5128" max="5128" width="21.28515625" customWidth="1"/>
    <col min="5129" max="5129" width="15.85546875" customWidth="1"/>
    <col min="5131" max="5131" width="12.42578125" customWidth="1"/>
    <col min="5133" max="5133" width="14.7109375" customWidth="1"/>
    <col min="5134" max="5134" width="18.28515625" customWidth="1"/>
    <col min="5135" max="5135" width="16.42578125" customWidth="1"/>
    <col min="5377" max="5377" width="41" customWidth="1"/>
    <col min="5378" max="5383" width="32.85546875" customWidth="1"/>
    <col min="5384" max="5384" width="21.28515625" customWidth="1"/>
    <col min="5385" max="5385" width="15.85546875" customWidth="1"/>
    <col min="5387" max="5387" width="12.42578125" customWidth="1"/>
    <col min="5389" max="5389" width="14.7109375" customWidth="1"/>
    <col min="5390" max="5390" width="18.28515625" customWidth="1"/>
    <col min="5391" max="5391" width="16.42578125" customWidth="1"/>
    <col min="5633" max="5633" width="41" customWidth="1"/>
    <col min="5634" max="5639" width="32.85546875" customWidth="1"/>
    <col min="5640" max="5640" width="21.28515625" customWidth="1"/>
    <col min="5641" max="5641" width="15.85546875" customWidth="1"/>
    <col min="5643" max="5643" width="12.42578125" customWidth="1"/>
    <col min="5645" max="5645" width="14.7109375" customWidth="1"/>
    <col min="5646" max="5646" width="18.28515625" customWidth="1"/>
    <col min="5647" max="5647" width="16.42578125" customWidth="1"/>
    <col min="5889" max="5889" width="41" customWidth="1"/>
    <col min="5890" max="5895" width="32.85546875" customWidth="1"/>
    <col min="5896" max="5896" width="21.28515625" customWidth="1"/>
    <col min="5897" max="5897" width="15.85546875" customWidth="1"/>
    <col min="5899" max="5899" width="12.42578125" customWidth="1"/>
    <col min="5901" max="5901" width="14.7109375" customWidth="1"/>
    <col min="5902" max="5902" width="18.28515625" customWidth="1"/>
    <col min="5903" max="5903" width="16.42578125" customWidth="1"/>
    <col min="6145" max="6145" width="41" customWidth="1"/>
    <col min="6146" max="6151" width="32.85546875" customWidth="1"/>
    <col min="6152" max="6152" width="21.28515625" customWidth="1"/>
    <col min="6153" max="6153" width="15.85546875" customWidth="1"/>
    <col min="6155" max="6155" width="12.42578125" customWidth="1"/>
    <col min="6157" max="6157" width="14.7109375" customWidth="1"/>
    <col min="6158" max="6158" width="18.28515625" customWidth="1"/>
    <col min="6159" max="6159" width="16.42578125" customWidth="1"/>
    <col min="6401" max="6401" width="41" customWidth="1"/>
    <col min="6402" max="6407" width="32.85546875" customWidth="1"/>
    <col min="6408" max="6408" width="21.28515625" customWidth="1"/>
    <col min="6409" max="6409" width="15.85546875" customWidth="1"/>
    <col min="6411" max="6411" width="12.42578125" customWidth="1"/>
    <col min="6413" max="6413" width="14.7109375" customWidth="1"/>
    <col min="6414" max="6414" width="18.28515625" customWidth="1"/>
    <col min="6415" max="6415" width="16.42578125" customWidth="1"/>
    <col min="6657" max="6657" width="41" customWidth="1"/>
    <col min="6658" max="6663" width="32.85546875" customWidth="1"/>
    <col min="6664" max="6664" width="21.28515625" customWidth="1"/>
    <col min="6665" max="6665" width="15.85546875" customWidth="1"/>
    <col min="6667" max="6667" width="12.42578125" customWidth="1"/>
    <col min="6669" max="6669" width="14.7109375" customWidth="1"/>
    <col min="6670" max="6670" width="18.28515625" customWidth="1"/>
    <col min="6671" max="6671" width="16.42578125" customWidth="1"/>
    <col min="6913" max="6913" width="41" customWidth="1"/>
    <col min="6914" max="6919" width="32.85546875" customWidth="1"/>
    <col min="6920" max="6920" width="21.28515625" customWidth="1"/>
    <col min="6921" max="6921" width="15.85546875" customWidth="1"/>
    <col min="6923" max="6923" width="12.42578125" customWidth="1"/>
    <col min="6925" max="6925" width="14.7109375" customWidth="1"/>
    <col min="6926" max="6926" width="18.28515625" customWidth="1"/>
    <col min="6927" max="6927" width="16.42578125" customWidth="1"/>
    <col min="7169" max="7169" width="41" customWidth="1"/>
    <col min="7170" max="7175" width="32.85546875" customWidth="1"/>
    <col min="7176" max="7176" width="21.28515625" customWidth="1"/>
    <col min="7177" max="7177" width="15.85546875" customWidth="1"/>
    <col min="7179" max="7179" width="12.42578125" customWidth="1"/>
    <col min="7181" max="7181" width="14.7109375" customWidth="1"/>
    <col min="7182" max="7182" width="18.28515625" customWidth="1"/>
    <col min="7183" max="7183" width="16.42578125" customWidth="1"/>
    <col min="7425" max="7425" width="41" customWidth="1"/>
    <col min="7426" max="7431" width="32.85546875" customWidth="1"/>
    <col min="7432" max="7432" width="21.28515625" customWidth="1"/>
    <col min="7433" max="7433" width="15.85546875" customWidth="1"/>
    <col min="7435" max="7435" width="12.42578125" customWidth="1"/>
    <col min="7437" max="7437" width="14.7109375" customWidth="1"/>
    <col min="7438" max="7438" width="18.28515625" customWidth="1"/>
    <col min="7439" max="7439" width="16.42578125" customWidth="1"/>
    <col min="7681" max="7681" width="41" customWidth="1"/>
    <col min="7682" max="7687" width="32.85546875" customWidth="1"/>
    <col min="7688" max="7688" width="21.28515625" customWidth="1"/>
    <col min="7689" max="7689" width="15.85546875" customWidth="1"/>
    <col min="7691" max="7691" width="12.42578125" customWidth="1"/>
    <col min="7693" max="7693" width="14.7109375" customWidth="1"/>
    <col min="7694" max="7694" width="18.28515625" customWidth="1"/>
    <col min="7695" max="7695" width="16.42578125" customWidth="1"/>
    <col min="7937" max="7937" width="41" customWidth="1"/>
    <col min="7938" max="7943" width="32.85546875" customWidth="1"/>
    <col min="7944" max="7944" width="21.28515625" customWidth="1"/>
    <col min="7945" max="7945" width="15.85546875" customWidth="1"/>
    <col min="7947" max="7947" width="12.42578125" customWidth="1"/>
    <col min="7949" max="7949" width="14.7109375" customWidth="1"/>
    <col min="7950" max="7950" width="18.28515625" customWidth="1"/>
    <col min="7951" max="7951" width="16.42578125" customWidth="1"/>
    <col min="8193" max="8193" width="41" customWidth="1"/>
    <col min="8194" max="8199" width="32.85546875" customWidth="1"/>
    <col min="8200" max="8200" width="21.28515625" customWidth="1"/>
    <col min="8201" max="8201" width="15.85546875" customWidth="1"/>
    <col min="8203" max="8203" width="12.42578125" customWidth="1"/>
    <col min="8205" max="8205" width="14.7109375" customWidth="1"/>
    <col min="8206" max="8206" width="18.28515625" customWidth="1"/>
    <col min="8207" max="8207" width="16.42578125" customWidth="1"/>
    <col min="8449" max="8449" width="41" customWidth="1"/>
    <col min="8450" max="8455" width="32.85546875" customWidth="1"/>
    <col min="8456" max="8456" width="21.28515625" customWidth="1"/>
    <col min="8457" max="8457" width="15.85546875" customWidth="1"/>
    <col min="8459" max="8459" width="12.42578125" customWidth="1"/>
    <col min="8461" max="8461" width="14.7109375" customWidth="1"/>
    <col min="8462" max="8462" width="18.28515625" customWidth="1"/>
    <col min="8463" max="8463" width="16.42578125" customWidth="1"/>
    <col min="8705" max="8705" width="41" customWidth="1"/>
    <col min="8706" max="8711" width="32.85546875" customWidth="1"/>
    <col min="8712" max="8712" width="21.28515625" customWidth="1"/>
    <col min="8713" max="8713" width="15.85546875" customWidth="1"/>
    <col min="8715" max="8715" width="12.42578125" customWidth="1"/>
    <col min="8717" max="8717" width="14.7109375" customWidth="1"/>
    <col min="8718" max="8718" width="18.28515625" customWidth="1"/>
    <col min="8719" max="8719" width="16.42578125" customWidth="1"/>
    <col min="8961" max="8961" width="41" customWidth="1"/>
    <col min="8962" max="8967" width="32.85546875" customWidth="1"/>
    <col min="8968" max="8968" width="21.28515625" customWidth="1"/>
    <col min="8969" max="8969" width="15.85546875" customWidth="1"/>
    <col min="8971" max="8971" width="12.42578125" customWidth="1"/>
    <col min="8973" max="8973" width="14.7109375" customWidth="1"/>
    <col min="8974" max="8974" width="18.28515625" customWidth="1"/>
    <col min="8975" max="8975" width="16.42578125" customWidth="1"/>
    <col min="9217" max="9217" width="41" customWidth="1"/>
    <col min="9218" max="9223" width="32.85546875" customWidth="1"/>
    <col min="9224" max="9224" width="21.28515625" customWidth="1"/>
    <col min="9225" max="9225" width="15.85546875" customWidth="1"/>
    <col min="9227" max="9227" width="12.42578125" customWidth="1"/>
    <col min="9229" max="9229" width="14.7109375" customWidth="1"/>
    <col min="9230" max="9230" width="18.28515625" customWidth="1"/>
    <col min="9231" max="9231" width="16.42578125" customWidth="1"/>
    <col min="9473" max="9473" width="41" customWidth="1"/>
    <col min="9474" max="9479" width="32.85546875" customWidth="1"/>
    <col min="9480" max="9480" width="21.28515625" customWidth="1"/>
    <col min="9481" max="9481" width="15.85546875" customWidth="1"/>
    <col min="9483" max="9483" width="12.42578125" customWidth="1"/>
    <col min="9485" max="9485" width="14.7109375" customWidth="1"/>
    <col min="9486" max="9486" width="18.28515625" customWidth="1"/>
    <col min="9487" max="9487" width="16.42578125" customWidth="1"/>
    <col min="9729" max="9729" width="41" customWidth="1"/>
    <col min="9730" max="9735" width="32.85546875" customWidth="1"/>
    <col min="9736" max="9736" width="21.28515625" customWidth="1"/>
    <col min="9737" max="9737" width="15.85546875" customWidth="1"/>
    <col min="9739" max="9739" width="12.42578125" customWidth="1"/>
    <col min="9741" max="9741" width="14.7109375" customWidth="1"/>
    <col min="9742" max="9742" width="18.28515625" customWidth="1"/>
    <col min="9743" max="9743" width="16.42578125" customWidth="1"/>
    <col min="9985" max="9985" width="41" customWidth="1"/>
    <col min="9986" max="9991" width="32.85546875" customWidth="1"/>
    <col min="9992" max="9992" width="21.28515625" customWidth="1"/>
    <col min="9993" max="9993" width="15.85546875" customWidth="1"/>
    <col min="9995" max="9995" width="12.42578125" customWidth="1"/>
    <col min="9997" max="9997" width="14.7109375" customWidth="1"/>
    <col min="9998" max="9998" width="18.28515625" customWidth="1"/>
    <col min="9999" max="9999" width="16.42578125" customWidth="1"/>
    <col min="10241" max="10241" width="41" customWidth="1"/>
    <col min="10242" max="10247" width="32.85546875" customWidth="1"/>
    <col min="10248" max="10248" width="21.28515625" customWidth="1"/>
    <col min="10249" max="10249" width="15.85546875" customWidth="1"/>
    <col min="10251" max="10251" width="12.42578125" customWidth="1"/>
    <col min="10253" max="10253" width="14.7109375" customWidth="1"/>
    <col min="10254" max="10254" width="18.28515625" customWidth="1"/>
    <col min="10255" max="10255" width="16.42578125" customWidth="1"/>
    <col min="10497" max="10497" width="41" customWidth="1"/>
    <col min="10498" max="10503" width="32.85546875" customWidth="1"/>
    <col min="10504" max="10504" width="21.28515625" customWidth="1"/>
    <col min="10505" max="10505" width="15.85546875" customWidth="1"/>
    <col min="10507" max="10507" width="12.42578125" customWidth="1"/>
    <col min="10509" max="10509" width="14.7109375" customWidth="1"/>
    <col min="10510" max="10510" width="18.28515625" customWidth="1"/>
    <col min="10511" max="10511" width="16.42578125" customWidth="1"/>
    <col min="10753" max="10753" width="41" customWidth="1"/>
    <col min="10754" max="10759" width="32.85546875" customWidth="1"/>
    <col min="10760" max="10760" width="21.28515625" customWidth="1"/>
    <col min="10761" max="10761" width="15.85546875" customWidth="1"/>
    <col min="10763" max="10763" width="12.42578125" customWidth="1"/>
    <col min="10765" max="10765" width="14.7109375" customWidth="1"/>
    <col min="10766" max="10766" width="18.28515625" customWidth="1"/>
    <col min="10767" max="10767" width="16.42578125" customWidth="1"/>
    <col min="11009" max="11009" width="41" customWidth="1"/>
    <col min="11010" max="11015" width="32.85546875" customWidth="1"/>
    <col min="11016" max="11016" width="21.28515625" customWidth="1"/>
    <col min="11017" max="11017" width="15.85546875" customWidth="1"/>
    <col min="11019" max="11019" width="12.42578125" customWidth="1"/>
    <col min="11021" max="11021" width="14.7109375" customWidth="1"/>
    <col min="11022" max="11022" width="18.28515625" customWidth="1"/>
    <col min="11023" max="11023" width="16.42578125" customWidth="1"/>
    <col min="11265" max="11265" width="41" customWidth="1"/>
    <col min="11266" max="11271" width="32.85546875" customWidth="1"/>
    <col min="11272" max="11272" width="21.28515625" customWidth="1"/>
    <col min="11273" max="11273" width="15.85546875" customWidth="1"/>
    <col min="11275" max="11275" width="12.42578125" customWidth="1"/>
    <col min="11277" max="11277" width="14.7109375" customWidth="1"/>
    <col min="11278" max="11278" width="18.28515625" customWidth="1"/>
    <col min="11279" max="11279" width="16.42578125" customWidth="1"/>
    <col min="11521" max="11521" width="41" customWidth="1"/>
    <col min="11522" max="11527" width="32.85546875" customWidth="1"/>
    <col min="11528" max="11528" width="21.28515625" customWidth="1"/>
    <col min="11529" max="11529" width="15.85546875" customWidth="1"/>
    <col min="11531" max="11531" width="12.42578125" customWidth="1"/>
    <col min="11533" max="11533" width="14.7109375" customWidth="1"/>
    <col min="11534" max="11534" width="18.28515625" customWidth="1"/>
    <col min="11535" max="11535" width="16.42578125" customWidth="1"/>
    <col min="11777" max="11777" width="41" customWidth="1"/>
    <col min="11778" max="11783" width="32.85546875" customWidth="1"/>
    <col min="11784" max="11784" width="21.28515625" customWidth="1"/>
    <col min="11785" max="11785" width="15.85546875" customWidth="1"/>
    <col min="11787" max="11787" width="12.42578125" customWidth="1"/>
    <col min="11789" max="11789" width="14.7109375" customWidth="1"/>
    <col min="11790" max="11790" width="18.28515625" customWidth="1"/>
    <col min="11791" max="11791" width="16.42578125" customWidth="1"/>
    <col min="12033" max="12033" width="41" customWidth="1"/>
    <col min="12034" max="12039" width="32.85546875" customWidth="1"/>
    <col min="12040" max="12040" width="21.28515625" customWidth="1"/>
    <col min="12041" max="12041" width="15.85546875" customWidth="1"/>
    <col min="12043" max="12043" width="12.42578125" customWidth="1"/>
    <col min="12045" max="12045" width="14.7109375" customWidth="1"/>
    <col min="12046" max="12046" width="18.28515625" customWidth="1"/>
    <col min="12047" max="12047" width="16.42578125" customWidth="1"/>
    <col min="12289" max="12289" width="41" customWidth="1"/>
    <col min="12290" max="12295" width="32.85546875" customWidth="1"/>
    <col min="12296" max="12296" width="21.28515625" customWidth="1"/>
    <col min="12297" max="12297" width="15.85546875" customWidth="1"/>
    <col min="12299" max="12299" width="12.42578125" customWidth="1"/>
    <col min="12301" max="12301" width="14.7109375" customWidth="1"/>
    <col min="12302" max="12302" width="18.28515625" customWidth="1"/>
    <col min="12303" max="12303" width="16.42578125" customWidth="1"/>
    <col min="12545" max="12545" width="41" customWidth="1"/>
    <col min="12546" max="12551" width="32.85546875" customWidth="1"/>
    <col min="12552" max="12552" width="21.28515625" customWidth="1"/>
    <col min="12553" max="12553" width="15.85546875" customWidth="1"/>
    <col min="12555" max="12555" width="12.42578125" customWidth="1"/>
    <col min="12557" max="12557" width="14.7109375" customWidth="1"/>
    <col min="12558" max="12558" width="18.28515625" customWidth="1"/>
    <col min="12559" max="12559" width="16.42578125" customWidth="1"/>
    <col min="12801" max="12801" width="41" customWidth="1"/>
    <col min="12802" max="12807" width="32.85546875" customWidth="1"/>
    <col min="12808" max="12808" width="21.28515625" customWidth="1"/>
    <col min="12809" max="12809" width="15.85546875" customWidth="1"/>
    <col min="12811" max="12811" width="12.42578125" customWidth="1"/>
    <col min="12813" max="12813" width="14.7109375" customWidth="1"/>
    <col min="12814" max="12814" width="18.28515625" customWidth="1"/>
    <col min="12815" max="12815" width="16.42578125" customWidth="1"/>
    <col min="13057" max="13057" width="41" customWidth="1"/>
    <col min="13058" max="13063" width="32.85546875" customWidth="1"/>
    <col min="13064" max="13064" width="21.28515625" customWidth="1"/>
    <col min="13065" max="13065" width="15.85546875" customWidth="1"/>
    <col min="13067" max="13067" width="12.42578125" customWidth="1"/>
    <col min="13069" max="13069" width="14.7109375" customWidth="1"/>
    <col min="13070" max="13070" width="18.28515625" customWidth="1"/>
    <col min="13071" max="13071" width="16.42578125" customWidth="1"/>
    <col min="13313" max="13313" width="41" customWidth="1"/>
    <col min="13314" max="13319" width="32.85546875" customWidth="1"/>
    <col min="13320" max="13320" width="21.28515625" customWidth="1"/>
    <col min="13321" max="13321" width="15.85546875" customWidth="1"/>
    <col min="13323" max="13323" width="12.42578125" customWidth="1"/>
    <col min="13325" max="13325" width="14.7109375" customWidth="1"/>
    <col min="13326" max="13326" width="18.28515625" customWidth="1"/>
    <col min="13327" max="13327" width="16.42578125" customWidth="1"/>
    <col min="13569" max="13569" width="41" customWidth="1"/>
    <col min="13570" max="13575" width="32.85546875" customWidth="1"/>
    <col min="13576" max="13576" width="21.28515625" customWidth="1"/>
    <col min="13577" max="13577" width="15.85546875" customWidth="1"/>
    <col min="13579" max="13579" width="12.42578125" customWidth="1"/>
    <col min="13581" max="13581" width="14.7109375" customWidth="1"/>
    <col min="13582" max="13582" width="18.28515625" customWidth="1"/>
    <col min="13583" max="13583" width="16.42578125" customWidth="1"/>
    <col min="13825" max="13825" width="41" customWidth="1"/>
    <col min="13826" max="13831" width="32.85546875" customWidth="1"/>
    <col min="13832" max="13832" width="21.28515625" customWidth="1"/>
    <col min="13833" max="13833" width="15.85546875" customWidth="1"/>
    <col min="13835" max="13835" width="12.42578125" customWidth="1"/>
    <col min="13837" max="13837" width="14.7109375" customWidth="1"/>
    <col min="13838" max="13838" width="18.28515625" customWidth="1"/>
    <col min="13839" max="13839" width="16.42578125" customWidth="1"/>
    <col min="14081" max="14081" width="41" customWidth="1"/>
    <col min="14082" max="14087" width="32.85546875" customWidth="1"/>
    <col min="14088" max="14088" width="21.28515625" customWidth="1"/>
    <col min="14089" max="14089" width="15.85546875" customWidth="1"/>
    <col min="14091" max="14091" width="12.42578125" customWidth="1"/>
    <col min="14093" max="14093" width="14.7109375" customWidth="1"/>
    <col min="14094" max="14094" width="18.28515625" customWidth="1"/>
    <col min="14095" max="14095" width="16.42578125" customWidth="1"/>
    <col min="14337" max="14337" width="41" customWidth="1"/>
    <col min="14338" max="14343" width="32.85546875" customWidth="1"/>
    <col min="14344" max="14344" width="21.28515625" customWidth="1"/>
    <col min="14345" max="14345" width="15.85546875" customWidth="1"/>
    <col min="14347" max="14347" width="12.42578125" customWidth="1"/>
    <col min="14349" max="14349" width="14.7109375" customWidth="1"/>
    <col min="14350" max="14350" width="18.28515625" customWidth="1"/>
    <col min="14351" max="14351" width="16.42578125" customWidth="1"/>
    <col min="14593" max="14593" width="41" customWidth="1"/>
    <col min="14594" max="14599" width="32.85546875" customWidth="1"/>
    <col min="14600" max="14600" width="21.28515625" customWidth="1"/>
    <col min="14601" max="14601" width="15.85546875" customWidth="1"/>
    <col min="14603" max="14603" width="12.42578125" customWidth="1"/>
    <col min="14605" max="14605" width="14.7109375" customWidth="1"/>
    <col min="14606" max="14606" width="18.28515625" customWidth="1"/>
    <col min="14607" max="14607" width="16.42578125" customWidth="1"/>
    <col min="14849" max="14849" width="41" customWidth="1"/>
    <col min="14850" max="14855" width="32.85546875" customWidth="1"/>
    <col min="14856" max="14856" width="21.28515625" customWidth="1"/>
    <col min="14857" max="14857" width="15.85546875" customWidth="1"/>
    <col min="14859" max="14859" width="12.42578125" customWidth="1"/>
    <col min="14861" max="14861" width="14.7109375" customWidth="1"/>
    <col min="14862" max="14862" width="18.28515625" customWidth="1"/>
    <col min="14863" max="14863" width="16.42578125" customWidth="1"/>
    <col min="15105" max="15105" width="41" customWidth="1"/>
    <col min="15106" max="15111" width="32.85546875" customWidth="1"/>
    <col min="15112" max="15112" width="21.28515625" customWidth="1"/>
    <col min="15113" max="15113" width="15.85546875" customWidth="1"/>
    <col min="15115" max="15115" width="12.42578125" customWidth="1"/>
    <col min="15117" max="15117" width="14.7109375" customWidth="1"/>
    <col min="15118" max="15118" width="18.28515625" customWidth="1"/>
    <col min="15119" max="15119" width="16.42578125" customWidth="1"/>
    <col min="15361" max="15361" width="41" customWidth="1"/>
    <col min="15362" max="15367" width="32.85546875" customWidth="1"/>
    <col min="15368" max="15368" width="21.28515625" customWidth="1"/>
    <col min="15369" max="15369" width="15.85546875" customWidth="1"/>
    <col min="15371" max="15371" width="12.42578125" customWidth="1"/>
    <col min="15373" max="15373" width="14.7109375" customWidth="1"/>
    <col min="15374" max="15374" width="18.28515625" customWidth="1"/>
    <col min="15375" max="15375" width="16.42578125" customWidth="1"/>
    <col min="15617" max="15617" width="41" customWidth="1"/>
    <col min="15618" max="15623" width="32.85546875" customWidth="1"/>
    <col min="15624" max="15624" width="21.28515625" customWidth="1"/>
    <col min="15625" max="15625" width="15.85546875" customWidth="1"/>
    <col min="15627" max="15627" width="12.42578125" customWidth="1"/>
    <col min="15629" max="15629" width="14.7109375" customWidth="1"/>
    <col min="15630" max="15630" width="18.28515625" customWidth="1"/>
    <col min="15631" max="15631" width="16.42578125" customWidth="1"/>
    <col min="15873" max="15873" width="41" customWidth="1"/>
    <col min="15874" max="15879" width="32.85546875" customWidth="1"/>
    <col min="15880" max="15880" width="21.28515625" customWidth="1"/>
    <col min="15881" max="15881" width="15.85546875" customWidth="1"/>
    <col min="15883" max="15883" width="12.42578125" customWidth="1"/>
    <col min="15885" max="15885" width="14.7109375" customWidth="1"/>
    <col min="15886" max="15886" width="18.28515625" customWidth="1"/>
    <col min="15887" max="15887" width="16.42578125" customWidth="1"/>
    <col min="16129" max="16129" width="41" customWidth="1"/>
    <col min="16130" max="16135" width="32.85546875" customWidth="1"/>
    <col min="16136" max="16136" width="21.28515625" customWidth="1"/>
    <col min="16137" max="16137" width="15.85546875" customWidth="1"/>
    <col min="16139" max="16139" width="12.42578125" customWidth="1"/>
    <col min="16141" max="16141" width="14.7109375" customWidth="1"/>
    <col min="16142" max="16142" width="18.28515625" customWidth="1"/>
    <col min="16143" max="16143" width="16.42578125" customWidth="1"/>
  </cols>
  <sheetData>
    <row r="1" spans="1:9" x14ac:dyDescent="0.2">
      <c r="A1" s="315"/>
      <c r="B1" s="315"/>
      <c r="C1" s="315"/>
      <c r="D1" s="315"/>
      <c r="E1" s="315"/>
      <c r="F1" s="315"/>
      <c r="G1" s="315"/>
      <c r="I1" s="315"/>
    </row>
    <row r="2" spans="1:9" ht="60" x14ac:dyDescent="0.2">
      <c r="A2" s="316" t="s">
        <v>140</v>
      </c>
      <c r="B2" s="317" t="s">
        <v>598</v>
      </c>
      <c r="C2" s="318" t="s">
        <v>599</v>
      </c>
      <c r="D2" s="317" t="s">
        <v>600</v>
      </c>
      <c r="E2" s="318" t="s">
        <v>748</v>
      </c>
      <c r="F2" s="317" t="s">
        <v>601</v>
      </c>
      <c r="G2" s="318" t="s">
        <v>749</v>
      </c>
      <c r="H2" s="317" t="s">
        <v>602</v>
      </c>
      <c r="I2" s="319" t="s">
        <v>603</v>
      </c>
    </row>
    <row r="3" spans="1:9" ht="15" x14ac:dyDescent="0.2">
      <c r="A3" s="316">
        <v>3</v>
      </c>
      <c r="B3" s="317">
        <v>4</v>
      </c>
      <c r="C3" s="318">
        <v>5</v>
      </c>
      <c r="D3" s="317">
        <v>6</v>
      </c>
      <c r="E3" s="318">
        <v>7</v>
      </c>
      <c r="F3" s="317">
        <v>8</v>
      </c>
      <c r="G3" s="318">
        <v>9</v>
      </c>
      <c r="H3" s="317">
        <v>10</v>
      </c>
      <c r="I3" s="319">
        <v>11</v>
      </c>
    </row>
    <row r="4" spans="1:9" ht="33" customHeight="1" x14ac:dyDescent="0.2">
      <c r="A4" s="320" t="s">
        <v>604</v>
      </c>
      <c r="B4" s="321">
        <v>6683000</v>
      </c>
      <c r="C4" s="322">
        <v>6682800</v>
      </c>
      <c r="D4" s="321">
        <v>0</v>
      </c>
      <c r="E4" s="322"/>
      <c r="F4" s="321"/>
      <c r="G4" s="322"/>
      <c r="H4" s="321">
        <f>B4+D4+F4</f>
        <v>6683000</v>
      </c>
      <c r="I4" s="323">
        <f>C4+E4+G4</f>
        <v>6682800</v>
      </c>
    </row>
    <row r="5" spans="1:9" x14ac:dyDescent="0.2">
      <c r="A5" s="320" t="s">
        <v>605</v>
      </c>
      <c r="B5" s="321">
        <v>223000</v>
      </c>
      <c r="C5" s="322">
        <v>206619</v>
      </c>
      <c r="D5" s="321">
        <v>0</v>
      </c>
      <c r="E5" s="322"/>
      <c r="F5" s="321"/>
      <c r="G5" s="322"/>
      <c r="H5" s="321">
        <f t="shared" ref="H5:I41" si="0">B5+D5+F5</f>
        <v>223000</v>
      </c>
      <c r="I5" s="323">
        <f t="shared" si="0"/>
        <v>206619</v>
      </c>
    </row>
    <row r="6" spans="1:9" x14ac:dyDescent="0.2">
      <c r="A6" s="320" t="s">
        <v>606</v>
      </c>
      <c r="B6" s="321">
        <v>68000</v>
      </c>
      <c r="C6" s="322">
        <v>59130</v>
      </c>
      <c r="D6" s="321">
        <v>0</v>
      </c>
      <c r="E6" s="322"/>
      <c r="F6" s="321"/>
      <c r="G6" s="322"/>
      <c r="H6" s="321">
        <f t="shared" si="0"/>
        <v>68000</v>
      </c>
      <c r="I6" s="323">
        <f t="shared" si="0"/>
        <v>59130</v>
      </c>
    </row>
    <row r="7" spans="1:9" x14ac:dyDescent="0.2">
      <c r="A7" s="324" t="s">
        <v>607</v>
      </c>
      <c r="B7" s="325">
        <f>SUM(B4:B6)</f>
        <v>6974000</v>
      </c>
      <c r="C7" s="326">
        <f>C4+C5+C6</f>
        <v>6948549</v>
      </c>
      <c r="D7" s="325">
        <v>0</v>
      </c>
      <c r="E7" s="322"/>
      <c r="F7" s="321"/>
      <c r="G7" s="322"/>
      <c r="H7" s="325">
        <f t="shared" si="0"/>
        <v>6974000</v>
      </c>
      <c r="I7" s="326">
        <f t="shared" si="0"/>
        <v>6948549</v>
      </c>
    </row>
    <row r="8" spans="1:9" ht="38.25" x14ac:dyDescent="0.2">
      <c r="A8" s="320" t="s">
        <v>608</v>
      </c>
      <c r="B8" s="321">
        <v>24113492</v>
      </c>
      <c r="C8" s="322">
        <v>17372207</v>
      </c>
      <c r="D8" s="321">
        <v>0</v>
      </c>
      <c r="E8" s="322"/>
      <c r="F8" s="321"/>
      <c r="G8" s="322"/>
      <c r="H8" s="321">
        <f t="shared" si="0"/>
        <v>24113492</v>
      </c>
      <c r="I8" s="323">
        <f t="shared" si="0"/>
        <v>17372207</v>
      </c>
    </row>
    <row r="9" spans="1:9" x14ac:dyDescent="0.2">
      <c r="A9" s="320" t="s">
        <v>609</v>
      </c>
      <c r="B9" s="321">
        <v>993418</v>
      </c>
      <c r="C9" s="322">
        <v>411085</v>
      </c>
      <c r="D9" s="321">
        <v>0</v>
      </c>
      <c r="E9" s="322"/>
      <c r="F9" s="321"/>
      <c r="G9" s="322"/>
      <c r="H9" s="321">
        <f t="shared" si="0"/>
        <v>993418</v>
      </c>
      <c r="I9" s="323">
        <f t="shared" si="0"/>
        <v>411085</v>
      </c>
    </row>
    <row r="10" spans="1:9" x14ac:dyDescent="0.2">
      <c r="A10" s="324" t="s">
        <v>610</v>
      </c>
      <c r="B10" s="325">
        <f>B8+B9</f>
        <v>25106910</v>
      </c>
      <c r="C10" s="326">
        <f>SUM(C8:C9)</f>
        <v>17783292</v>
      </c>
      <c r="D10" s="325">
        <v>0</v>
      </c>
      <c r="E10" s="322"/>
      <c r="F10" s="321"/>
      <c r="G10" s="322"/>
      <c r="H10" s="321">
        <f t="shared" si="0"/>
        <v>25106910</v>
      </c>
      <c r="I10" s="326">
        <f t="shared" si="0"/>
        <v>17783292</v>
      </c>
    </row>
    <row r="11" spans="1:9" x14ac:dyDescent="0.2">
      <c r="A11" s="324" t="s">
        <v>611</v>
      </c>
      <c r="B11" s="325">
        <f>B7+B10</f>
        <v>32080910</v>
      </c>
      <c r="C11" s="326">
        <f>C7+C10</f>
        <v>24731841</v>
      </c>
      <c r="D11" s="325">
        <v>0</v>
      </c>
      <c r="E11" s="326"/>
      <c r="F11" s="325"/>
      <c r="G11" s="326"/>
      <c r="H11" s="325">
        <f t="shared" si="0"/>
        <v>32080910</v>
      </c>
      <c r="I11" s="327">
        <f t="shared" si="0"/>
        <v>24731841</v>
      </c>
    </row>
    <row r="12" spans="1:9" ht="25.5" x14ac:dyDescent="0.2">
      <c r="A12" s="324" t="s">
        <v>612</v>
      </c>
      <c r="B12" s="325">
        <v>4230793</v>
      </c>
      <c r="C12" s="326">
        <v>2443727</v>
      </c>
      <c r="D12" s="325">
        <v>0</v>
      </c>
      <c r="E12" s="326"/>
      <c r="F12" s="325"/>
      <c r="G12" s="326"/>
      <c r="H12" s="325">
        <f t="shared" si="0"/>
        <v>4230793</v>
      </c>
      <c r="I12" s="327">
        <f t="shared" si="0"/>
        <v>2443727</v>
      </c>
    </row>
    <row r="13" spans="1:9" x14ac:dyDescent="0.2">
      <c r="A13" s="320" t="s">
        <v>613</v>
      </c>
      <c r="B13" s="321">
        <v>974088</v>
      </c>
      <c r="C13" s="322">
        <v>254993</v>
      </c>
      <c r="D13" s="321">
        <v>0</v>
      </c>
      <c r="E13" s="322"/>
      <c r="F13" s="321"/>
      <c r="G13" s="322">
        <v>0</v>
      </c>
      <c r="H13" s="321">
        <f t="shared" si="0"/>
        <v>974088</v>
      </c>
      <c r="I13" s="323">
        <f t="shared" si="0"/>
        <v>254993</v>
      </c>
    </row>
    <row r="14" spans="1:9" s="328" customFormat="1" x14ac:dyDescent="0.2">
      <c r="A14" s="324" t="s">
        <v>614</v>
      </c>
      <c r="B14" s="325">
        <f>B13</f>
        <v>974088</v>
      </c>
      <c r="C14" s="326">
        <f>C13</f>
        <v>254993</v>
      </c>
      <c r="D14" s="325">
        <v>0</v>
      </c>
      <c r="E14" s="326"/>
      <c r="F14" s="325"/>
      <c r="G14" s="326">
        <v>0</v>
      </c>
      <c r="H14" s="325">
        <f t="shared" si="0"/>
        <v>974088</v>
      </c>
      <c r="I14" s="327">
        <f t="shared" si="0"/>
        <v>254993</v>
      </c>
    </row>
    <row r="15" spans="1:9" ht="25.5" x14ac:dyDescent="0.2">
      <c r="A15" s="320" t="s">
        <v>615</v>
      </c>
      <c r="B15" s="321">
        <v>294588</v>
      </c>
      <c r="C15" s="322">
        <v>190372</v>
      </c>
      <c r="D15" s="321">
        <v>0</v>
      </c>
      <c r="E15" s="322"/>
      <c r="F15" s="321"/>
      <c r="G15" s="322">
        <v>0</v>
      </c>
      <c r="H15" s="321">
        <f t="shared" si="0"/>
        <v>294588</v>
      </c>
      <c r="I15" s="323">
        <f t="shared" si="0"/>
        <v>190372</v>
      </c>
    </row>
    <row r="16" spans="1:9" x14ac:dyDescent="0.2">
      <c r="A16" s="320" t="s">
        <v>616</v>
      </c>
      <c r="B16" s="321">
        <v>647427</v>
      </c>
      <c r="C16" s="322">
        <v>132726</v>
      </c>
      <c r="D16" s="321">
        <v>0</v>
      </c>
      <c r="E16" s="322"/>
      <c r="F16" s="321"/>
      <c r="G16" s="322">
        <v>0</v>
      </c>
      <c r="H16" s="321">
        <f t="shared" si="0"/>
        <v>647427</v>
      </c>
      <c r="I16" s="323">
        <f t="shared" si="0"/>
        <v>132726</v>
      </c>
    </row>
    <row r="17" spans="1:11" s="328" customFormat="1" x14ac:dyDescent="0.2">
      <c r="A17" s="324" t="s">
        <v>617</v>
      </c>
      <c r="B17" s="325">
        <f>B15+B16</f>
        <v>942015</v>
      </c>
      <c r="C17" s="326">
        <f>C15+C16</f>
        <v>323098</v>
      </c>
      <c r="D17" s="325">
        <v>0</v>
      </c>
      <c r="E17" s="326">
        <f>E15+E16</f>
        <v>0</v>
      </c>
      <c r="F17" s="325"/>
      <c r="G17" s="326">
        <v>0</v>
      </c>
      <c r="H17" s="325">
        <f t="shared" si="0"/>
        <v>942015</v>
      </c>
      <c r="I17" s="327">
        <f t="shared" si="0"/>
        <v>323098</v>
      </c>
    </row>
    <row r="18" spans="1:11" x14ac:dyDescent="0.2">
      <c r="A18" s="320" t="s">
        <v>723</v>
      </c>
      <c r="B18" s="321"/>
      <c r="C18" s="322">
        <v>0</v>
      </c>
      <c r="D18" s="321"/>
      <c r="E18" s="322"/>
      <c r="F18" s="321"/>
      <c r="G18" s="322">
        <v>0</v>
      </c>
      <c r="H18" s="321">
        <f t="shared" si="0"/>
        <v>0</v>
      </c>
      <c r="I18" s="323">
        <f t="shared" si="0"/>
        <v>0</v>
      </c>
    </row>
    <row r="19" spans="1:11" x14ac:dyDescent="0.2">
      <c r="A19" s="320" t="s">
        <v>618</v>
      </c>
      <c r="B19" s="321"/>
      <c r="C19" s="322">
        <v>0</v>
      </c>
      <c r="D19" s="321"/>
      <c r="E19" s="322"/>
      <c r="F19" s="321"/>
      <c r="G19" s="322">
        <v>0</v>
      </c>
      <c r="H19" s="321">
        <f t="shared" si="0"/>
        <v>0</v>
      </c>
      <c r="I19" s="323">
        <f t="shared" si="0"/>
        <v>0</v>
      </c>
    </row>
    <row r="20" spans="1:11" x14ac:dyDescent="0.2">
      <c r="A20" s="320" t="s">
        <v>619</v>
      </c>
      <c r="B20" s="321">
        <v>1874000</v>
      </c>
      <c r="C20" s="322">
        <v>1866813</v>
      </c>
      <c r="D20" s="321"/>
      <c r="E20" s="322"/>
      <c r="F20" s="321"/>
      <c r="G20" s="322">
        <v>0</v>
      </c>
      <c r="H20" s="321">
        <f t="shared" si="0"/>
        <v>1874000</v>
      </c>
      <c r="I20" s="323">
        <f t="shared" si="0"/>
        <v>1866813</v>
      </c>
    </row>
    <row r="21" spans="1:11" x14ac:dyDescent="0.2">
      <c r="A21" s="320" t="s">
        <v>620</v>
      </c>
      <c r="B21" s="321">
        <v>787000</v>
      </c>
      <c r="C21" s="322"/>
      <c r="D21" s="321">
        <v>5839004</v>
      </c>
      <c r="E21" s="322"/>
      <c r="F21" s="321"/>
      <c r="G21" s="322">
        <v>0</v>
      </c>
      <c r="H21" s="321">
        <f>B21+D21+F21+E21</f>
        <v>6626004</v>
      </c>
      <c r="I21" s="323">
        <f t="shared" si="0"/>
        <v>0</v>
      </c>
    </row>
    <row r="22" spans="1:11" ht="25.5" x14ac:dyDescent="0.2">
      <c r="A22" s="320" t="s">
        <v>621</v>
      </c>
      <c r="B22" s="321"/>
      <c r="C22" s="322"/>
      <c r="D22" s="321"/>
      <c r="E22" s="322"/>
      <c r="F22" s="321"/>
      <c r="G22" s="322">
        <v>0</v>
      </c>
      <c r="H22" s="321">
        <f t="shared" si="0"/>
        <v>0</v>
      </c>
      <c r="I22" s="323">
        <f t="shared" si="0"/>
        <v>0</v>
      </c>
    </row>
    <row r="23" spans="1:11" x14ac:dyDescent="0.2">
      <c r="A23" s="320" t="s">
        <v>622</v>
      </c>
      <c r="B23" s="321">
        <v>4056000</v>
      </c>
      <c r="C23" s="322">
        <v>2075979</v>
      </c>
      <c r="D23" s="321"/>
      <c r="E23" s="322"/>
      <c r="F23" s="321">
        <v>13432930</v>
      </c>
      <c r="G23" s="322">
        <v>4363600</v>
      </c>
      <c r="H23" s="321">
        <f t="shared" si="0"/>
        <v>17488930</v>
      </c>
      <c r="I23" s="323">
        <f t="shared" si="0"/>
        <v>6439579</v>
      </c>
    </row>
    <row r="24" spans="1:11" s="328" customFormat="1" x14ac:dyDescent="0.2">
      <c r="A24" s="324" t="s">
        <v>623</v>
      </c>
      <c r="B24" s="325">
        <f>SUM(B18:B23)</f>
        <v>6717000</v>
      </c>
      <c r="C24" s="326">
        <f>C18+C19+C20+C21+C22+C23</f>
        <v>3942792</v>
      </c>
      <c r="D24" s="325">
        <f>D18+D19+D20+D21+D22+D23</f>
        <v>5839004</v>
      </c>
      <c r="E24" s="326">
        <f>E18+E19+E20+E21+E22+E23</f>
        <v>0</v>
      </c>
      <c r="F24" s="325">
        <f>F23</f>
        <v>13432930</v>
      </c>
      <c r="G24" s="326">
        <f>G18+G19+G20+G21+G22+G23</f>
        <v>4363600</v>
      </c>
      <c r="H24" s="325">
        <f>B24+D24+F24+E24</f>
        <v>25988934</v>
      </c>
      <c r="I24" s="327">
        <f t="shared" si="0"/>
        <v>8306392</v>
      </c>
    </row>
    <row r="25" spans="1:11" x14ac:dyDescent="0.2">
      <c r="A25" s="320" t="s">
        <v>624</v>
      </c>
      <c r="B25" s="321">
        <v>162468</v>
      </c>
      <c r="C25" s="322">
        <v>51567</v>
      </c>
      <c r="D25" s="321">
        <v>70000</v>
      </c>
      <c r="E25" s="322"/>
      <c r="F25" s="321"/>
      <c r="G25" s="322">
        <v>0</v>
      </c>
      <c r="H25" s="321">
        <f>B25+D25+F25+C25</f>
        <v>284035</v>
      </c>
      <c r="I25" s="323"/>
    </row>
    <row r="26" spans="1:11" x14ac:dyDescent="0.2">
      <c r="A26" s="320" t="s">
        <v>625</v>
      </c>
      <c r="B26" s="321"/>
      <c r="C26" s="322">
        <v>0</v>
      </c>
      <c r="D26" s="321"/>
      <c r="E26" s="322"/>
      <c r="F26" s="321"/>
      <c r="G26" s="322">
        <v>0</v>
      </c>
      <c r="H26" s="321">
        <f t="shared" si="0"/>
        <v>0</v>
      </c>
      <c r="I26" s="323">
        <f t="shared" si="0"/>
        <v>0</v>
      </c>
    </row>
    <row r="27" spans="1:11" s="328" customFormat="1" ht="25.5" x14ac:dyDescent="0.2">
      <c r="A27" s="324" t="s">
        <v>626</v>
      </c>
      <c r="B27" s="325">
        <f>B25+B26</f>
        <v>162468</v>
      </c>
      <c r="C27" s="326">
        <f>C25+C26</f>
        <v>51567</v>
      </c>
      <c r="D27" s="325">
        <f>D25+D26</f>
        <v>70000</v>
      </c>
      <c r="E27" s="326">
        <f>E25+E26</f>
        <v>0</v>
      </c>
      <c r="F27" s="325"/>
      <c r="G27" s="326">
        <v>0</v>
      </c>
      <c r="H27" s="325">
        <f>B27+D27+F27+C27</f>
        <v>284035</v>
      </c>
      <c r="I27" s="327">
        <f t="shared" si="0"/>
        <v>51567</v>
      </c>
    </row>
    <row r="28" spans="1:11" s="328" customFormat="1" x14ac:dyDescent="0.2">
      <c r="A28" s="324" t="s">
        <v>627</v>
      </c>
      <c r="B28" s="325"/>
      <c r="C28" s="326"/>
      <c r="D28" s="325">
        <v>54499000</v>
      </c>
      <c r="E28" s="326">
        <v>44406000</v>
      </c>
      <c r="F28" s="325"/>
      <c r="G28" s="326"/>
      <c r="H28" s="325">
        <f t="shared" si="0"/>
        <v>54499000</v>
      </c>
      <c r="I28" s="327">
        <f t="shared" si="0"/>
        <v>44406000</v>
      </c>
    </row>
    <row r="29" spans="1:11" s="328" customFormat="1" ht="25.5" x14ac:dyDescent="0.2">
      <c r="A29" s="324" t="s">
        <v>628</v>
      </c>
      <c r="B29" s="325">
        <v>2590664</v>
      </c>
      <c r="C29" s="326">
        <v>1063426</v>
      </c>
      <c r="D29" s="325">
        <v>1576531</v>
      </c>
      <c r="E29" s="326"/>
      <c r="F29" s="325">
        <v>3128041</v>
      </c>
      <c r="G29" s="326">
        <v>240462</v>
      </c>
      <c r="H29" s="321">
        <f t="shared" si="0"/>
        <v>7295236</v>
      </c>
      <c r="I29" s="327">
        <f t="shared" si="0"/>
        <v>1303888</v>
      </c>
    </row>
    <row r="30" spans="1:11" s="328" customFormat="1" ht="25.5" x14ac:dyDescent="0.2">
      <c r="A30" s="324" t="s">
        <v>629</v>
      </c>
      <c r="B30" s="325">
        <v>489064</v>
      </c>
      <c r="C30" s="326">
        <v>482892</v>
      </c>
      <c r="D30" s="325"/>
      <c r="E30" s="326"/>
      <c r="F30" s="325"/>
      <c r="G30" s="326">
        <v>0</v>
      </c>
      <c r="H30" s="321">
        <f t="shared" si="0"/>
        <v>489064</v>
      </c>
      <c r="I30" s="327">
        <f t="shared" si="0"/>
        <v>482892</v>
      </c>
    </row>
    <row r="31" spans="1:11" s="328" customFormat="1" x14ac:dyDescent="0.2">
      <c r="A31" s="324" t="s">
        <v>630</v>
      </c>
      <c r="B31" s="325">
        <v>16409</v>
      </c>
      <c r="C31" s="326">
        <v>3485</v>
      </c>
      <c r="D31" s="325"/>
      <c r="E31" s="326"/>
      <c r="F31" s="325"/>
      <c r="G31" s="326">
        <v>0</v>
      </c>
      <c r="H31" s="321">
        <f t="shared" si="0"/>
        <v>16409</v>
      </c>
      <c r="I31" s="327">
        <f t="shared" si="0"/>
        <v>3485</v>
      </c>
      <c r="K31"/>
    </row>
    <row r="32" spans="1:11" x14ac:dyDescent="0.2">
      <c r="A32" s="324" t="s">
        <v>631</v>
      </c>
      <c r="B32" s="325">
        <f>B14+B17+B24+B27+B29+B30+B31+B28</f>
        <v>11891708</v>
      </c>
      <c r="C32" s="842">
        <f t="shared" ref="C32:I32" si="1">C14+C17+C24+C27+C29+C30+C31+C28</f>
        <v>6122253</v>
      </c>
      <c r="D32" s="325">
        <f t="shared" si="1"/>
        <v>61984535</v>
      </c>
      <c r="E32" s="842">
        <f t="shared" si="1"/>
        <v>44406000</v>
      </c>
      <c r="F32" s="325">
        <f t="shared" si="1"/>
        <v>16560971</v>
      </c>
      <c r="G32" s="842">
        <f t="shared" si="1"/>
        <v>4604062</v>
      </c>
      <c r="H32" s="325">
        <f t="shared" si="1"/>
        <v>90488781</v>
      </c>
      <c r="I32" s="842">
        <f t="shared" si="1"/>
        <v>55132315</v>
      </c>
    </row>
    <row r="33" spans="1:255" ht="27" customHeight="1" x14ac:dyDescent="0.2">
      <c r="A33" s="324" t="s">
        <v>750</v>
      </c>
      <c r="B33" s="325">
        <v>55958000</v>
      </c>
      <c r="C33" s="326">
        <v>55815300</v>
      </c>
      <c r="D33" s="325"/>
      <c r="E33" s="326">
        <v>0</v>
      </c>
      <c r="F33" s="325"/>
      <c r="G33" s="326">
        <v>0</v>
      </c>
      <c r="H33" s="325">
        <f t="shared" si="0"/>
        <v>55958000</v>
      </c>
      <c r="I33" s="327">
        <f t="shared" si="0"/>
        <v>55815300</v>
      </c>
    </row>
    <row r="34" spans="1:255" x14ac:dyDescent="0.2">
      <c r="A34" s="324" t="s">
        <v>721</v>
      </c>
      <c r="B34" s="325">
        <v>597525008</v>
      </c>
      <c r="C34" s="322">
        <v>0</v>
      </c>
      <c r="D34" s="321"/>
      <c r="E34" s="322">
        <v>0</v>
      </c>
      <c r="F34" s="321"/>
      <c r="G34" s="322">
        <v>0</v>
      </c>
      <c r="H34" s="325">
        <f t="shared" si="0"/>
        <v>597525008</v>
      </c>
      <c r="I34" s="323">
        <f t="shared" si="0"/>
        <v>0</v>
      </c>
    </row>
    <row r="35" spans="1:255" x14ac:dyDescent="0.2">
      <c r="A35" s="320" t="s">
        <v>633</v>
      </c>
      <c r="B35" s="325">
        <v>1245706</v>
      </c>
      <c r="C35" s="322">
        <v>410500</v>
      </c>
      <c r="D35" s="321"/>
      <c r="E35" s="322"/>
      <c r="F35" s="321"/>
      <c r="G35" s="322">
        <v>0</v>
      </c>
      <c r="H35" s="321">
        <f t="shared" si="0"/>
        <v>1245706</v>
      </c>
      <c r="I35" s="323">
        <f t="shared" si="0"/>
        <v>410500</v>
      </c>
    </row>
    <row r="36" spans="1:255" ht="25.5" x14ac:dyDescent="0.2">
      <c r="A36" s="320" t="s">
        <v>632</v>
      </c>
      <c r="B36" s="325">
        <v>90071</v>
      </c>
      <c r="C36" s="322">
        <v>110835</v>
      </c>
      <c r="D36" s="321"/>
      <c r="E36" s="322"/>
      <c r="F36" s="321"/>
      <c r="G36" s="326">
        <v>0</v>
      </c>
      <c r="H36" s="321">
        <f t="shared" si="0"/>
        <v>90071</v>
      </c>
      <c r="I36" s="323">
        <f t="shared" si="0"/>
        <v>110835</v>
      </c>
    </row>
    <row r="37" spans="1:255" x14ac:dyDescent="0.2">
      <c r="A37" s="324" t="s">
        <v>722</v>
      </c>
      <c r="B37" s="325">
        <f>SUM(B35:B36)</f>
        <v>1335777</v>
      </c>
      <c r="C37" s="326">
        <f t="shared" ref="C37:H37" si="2">SUM(C35:C36)</f>
        <v>521335</v>
      </c>
      <c r="D37" s="325">
        <f t="shared" si="2"/>
        <v>0</v>
      </c>
      <c r="E37" s="326">
        <f t="shared" si="2"/>
        <v>0</v>
      </c>
      <c r="F37" s="325">
        <f t="shared" si="2"/>
        <v>0</v>
      </c>
      <c r="G37" s="326">
        <f t="shared" si="2"/>
        <v>0</v>
      </c>
      <c r="H37" s="325">
        <f t="shared" si="2"/>
        <v>1335777</v>
      </c>
      <c r="I37" s="327">
        <f>SUM(I34:I36)</f>
        <v>521335</v>
      </c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29"/>
      <c r="BG37" s="329"/>
      <c r="BH37" s="329"/>
      <c r="BI37" s="329"/>
      <c r="BJ37" s="329"/>
      <c r="BK37" s="329"/>
      <c r="BL37" s="329"/>
      <c r="BM37" s="329"/>
      <c r="BN37" s="329"/>
      <c r="BO37" s="329"/>
      <c r="BP37" s="329"/>
      <c r="BQ37" s="329"/>
      <c r="BR37" s="329"/>
      <c r="BS37" s="329"/>
      <c r="BT37" s="329"/>
      <c r="BU37" s="329"/>
      <c r="BV37" s="329"/>
      <c r="BW37" s="329"/>
      <c r="BX37" s="329"/>
      <c r="BY37" s="329"/>
      <c r="BZ37" s="329"/>
      <c r="CA37" s="329"/>
      <c r="CB37" s="329"/>
      <c r="CC37" s="329"/>
      <c r="CD37" s="329"/>
      <c r="CE37" s="329"/>
      <c r="CF37" s="329"/>
      <c r="CG37" s="329"/>
      <c r="CH37" s="329"/>
      <c r="CI37" s="329"/>
      <c r="CJ37" s="329"/>
      <c r="CK37" s="329"/>
      <c r="CL37" s="329"/>
      <c r="CM37" s="329"/>
      <c r="CN37" s="329"/>
      <c r="CO37" s="329"/>
      <c r="CP37" s="329"/>
      <c r="CQ37" s="329"/>
      <c r="CR37" s="329"/>
      <c r="CS37" s="329"/>
      <c r="CT37" s="329"/>
      <c r="CU37" s="329"/>
      <c r="CV37" s="329"/>
      <c r="CW37" s="329"/>
      <c r="CX37" s="329"/>
      <c r="CY37" s="329"/>
      <c r="CZ37" s="329"/>
      <c r="DA37" s="329"/>
      <c r="DB37" s="329"/>
      <c r="DC37" s="329"/>
      <c r="DD37" s="329"/>
      <c r="DE37" s="329"/>
      <c r="DF37" s="329"/>
      <c r="DG37" s="329"/>
      <c r="DH37" s="329"/>
      <c r="DI37" s="329"/>
      <c r="DJ37" s="329"/>
      <c r="DK37" s="329"/>
      <c r="DL37" s="329"/>
      <c r="DM37" s="329"/>
      <c r="DN37" s="329"/>
      <c r="DO37" s="329"/>
      <c r="DP37" s="329"/>
      <c r="DQ37" s="329"/>
      <c r="DR37" s="329"/>
      <c r="DS37" s="329"/>
      <c r="DT37" s="329"/>
      <c r="DU37" s="329"/>
      <c r="DV37" s="329"/>
      <c r="DW37" s="329"/>
      <c r="DX37" s="329"/>
      <c r="DY37" s="329"/>
      <c r="DZ37" s="329"/>
      <c r="EA37" s="329"/>
      <c r="EB37" s="329"/>
      <c r="EC37" s="329"/>
      <c r="ED37" s="329"/>
      <c r="EE37" s="329"/>
      <c r="EF37" s="329"/>
      <c r="EG37" s="329"/>
      <c r="EH37" s="329"/>
      <c r="EI37" s="329"/>
      <c r="EJ37" s="329"/>
      <c r="EK37" s="329"/>
      <c r="EL37" s="329"/>
      <c r="EM37" s="329"/>
      <c r="EN37" s="329"/>
      <c r="EO37" s="329"/>
      <c r="EP37" s="329"/>
      <c r="EQ37" s="329"/>
      <c r="ER37" s="329"/>
      <c r="ES37" s="329"/>
      <c r="ET37" s="329"/>
      <c r="EU37" s="329"/>
      <c r="EV37" s="329"/>
      <c r="EW37" s="329"/>
      <c r="EX37" s="329"/>
      <c r="EY37" s="329"/>
      <c r="EZ37" s="329"/>
      <c r="FA37" s="329"/>
      <c r="FB37" s="329"/>
      <c r="FC37" s="329"/>
      <c r="FD37" s="329"/>
      <c r="FE37" s="329"/>
      <c r="FF37" s="329"/>
      <c r="FG37" s="329"/>
      <c r="FH37" s="329"/>
      <c r="FI37" s="329"/>
      <c r="FJ37" s="329"/>
      <c r="FK37" s="329"/>
      <c r="FL37" s="329"/>
      <c r="FM37" s="329"/>
      <c r="FN37" s="329"/>
      <c r="FO37" s="329"/>
      <c r="FP37" s="329"/>
      <c r="FQ37" s="329"/>
      <c r="FR37" s="329"/>
      <c r="FS37" s="329"/>
      <c r="FT37" s="329"/>
      <c r="FU37" s="329"/>
      <c r="FV37" s="329"/>
      <c r="FW37" s="329"/>
      <c r="FX37" s="329"/>
      <c r="FY37" s="329"/>
      <c r="FZ37" s="329"/>
      <c r="GA37" s="329"/>
      <c r="GB37" s="329"/>
      <c r="GC37" s="329"/>
      <c r="GD37" s="329"/>
      <c r="GE37" s="329"/>
      <c r="GF37" s="329"/>
      <c r="GG37" s="329"/>
      <c r="GH37" s="329"/>
      <c r="GI37" s="329"/>
      <c r="GJ37" s="329"/>
      <c r="GK37" s="329"/>
      <c r="GL37" s="329"/>
      <c r="GM37" s="329"/>
      <c r="GN37" s="329"/>
      <c r="GO37" s="329"/>
      <c r="GP37" s="329"/>
      <c r="GQ37" s="329"/>
      <c r="GR37" s="329"/>
      <c r="GS37" s="329"/>
      <c r="GT37" s="329"/>
      <c r="GU37" s="329"/>
      <c r="GV37" s="329"/>
      <c r="GW37" s="329"/>
      <c r="GX37" s="329"/>
      <c r="GY37" s="329"/>
      <c r="GZ37" s="329"/>
      <c r="HA37" s="329"/>
      <c r="HB37" s="329"/>
      <c r="HC37" s="329"/>
      <c r="HD37" s="329"/>
      <c r="HE37" s="329"/>
      <c r="HF37" s="329"/>
      <c r="HG37" s="329"/>
      <c r="HH37" s="329"/>
      <c r="HI37" s="329"/>
      <c r="HJ37" s="329"/>
      <c r="HK37" s="329"/>
      <c r="HL37" s="329"/>
      <c r="HM37" s="329"/>
      <c r="HN37" s="329"/>
      <c r="HO37" s="329"/>
      <c r="HP37" s="329"/>
      <c r="HQ37" s="329"/>
      <c r="HR37" s="329"/>
      <c r="HS37" s="329"/>
      <c r="HT37" s="329"/>
      <c r="HU37" s="329"/>
      <c r="HV37" s="329"/>
      <c r="HW37" s="329"/>
      <c r="HX37" s="329"/>
      <c r="HY37" s="329"/>
      <c r="HZ37" s="329"/>
      <c r="IA37" s="329"/>
      <c r="IB37" s="329"/>
      <c r="IC37" s="329"/>
      <c r="ID37" s="329"/>
      <c r="IE37" s="329"/>
      <c r="IF37" s="329"/>
      <c r="IG37" s="329"/>
      <c r="IH37" s="329"/>
      <c r="II37" s="329"/>
      <c r="IJ37" s="329"/>
      <c r="IK37" s="329"/>
      <c r="IL37" s="329"/>
      <c r="IM37" s="329"/>
      <c r="IN37" s="329"/>
      <c r="IO37" s="329"/>
      <c r="IP37" s="329"/>
      <c r="IQ37" s="329"/>
      <c r="IR37" s="329"/>
      <c r="IS37" s="329"/>
      <c r="IT37" s="329"/>
      <c r="IU37" s="329"/>
    </row>
    <row r="38" spans="1:255" x14ac:dyDescent="0.2">
      <c r="A38" s="324" t="s">
        <v>634</v>
      </c>
      <c r="B38" s="325">
        <f>B11+B12+B32+B34+B37+B33</f>
        <v>703022196</v>
      </c>
      <c r="C38" s="326">
        <f>C11+C12+C32+C34+C37+C33</f>
        <v>89634456</v>
      </c>
      <c r="D38" s="325">
        <f>D11+D12+D32+D34+D37</f>
        <v>61984535</v>
      </c>
      <c r="E38" s="326">
        <f>E11+E12+E32+E34+E37</f>
        <v>44406000</v>
      </c>
      <c r="F38" s="325">
        <f>F11+F12+F32+F34+F37</f>
        <v>16560971</v>
      </c>
      <c r="G38" s="326">
        <f>G11+G12+G32+G34+G37</f>
        <v>4604062</v>
      </c>
      <c r="H38" s="325">
        <f>H11+H12+H32+H34+H37+H33</f>
        <v>781619269</v>
      </c>
      <c r="I38" s="326">
        <f>I11+I12+I32+I34+I37+I33</f>
        <v>138644518</v>
      </c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  <c r="AL38" s="329"/>
      <c r="AM38" s="329"/>
      <c r="AN38" s="329"/>
      <c r="AO38" s="329"/>
      <c r="AP38" s="329"/>
      <c r="AQ38" s="329"/>
      <c r="AR38" s="329"/>
      <c r="AS38" s="329"/>
      <c r="AT38" s="329"/>
      <c r="AU38" s="329"/>
      <c r="AV38" s="329"/>
      <c r="AW38" s="329"/>
      <c r="AX38" s="329"/>
      <c r="AY38" s="329"/>
      <c r="AZ38" s="329"/>
      <c r="BA38" s="329"/>
      <c r="BB38" s="329"/>
      <c r="BC38" s="329"/>
      <c r="BD38" s="329"/>
      <c r="BE38" s="329"/>
      <c r="BF38" s="329"/>
      <c r="BG38" s="329"/>
      <c r="BH38" s="329"/>
      <c r="BI38" s="329"/>
      <c r="BJ38" s="329"/>
      <c r="BK38" s="329"/>
      <c r="BL38" s="329"/>
      <c r="BM38" s="329"/>
      <c r="BN38" s="329"/>
      <c r="BO38" s="329"/>
      <c r="BP38" s="329"/>
      <c r="BQ38" s="329"/>
      <c r="BR38" s="329"/>
      <c r="BS38" s="329"/>
      <c r="BT38" s="329"/>
      <c r="BU38" s="329"/>
      <c r="BV38" s="329"/>
      <c r="BW38" s="329"/>
      <c r="BX38" s="329"/>
      <c r="BY38" s="329"/>
      <c r="BZ38" s="329"/>
      <c r="CA38" s="329"/>
      <c r="CB38" s="329"/>
      <c r="CC38" s="329"/>
      <c r="CD38" s="329"/>
      <c r="CE38" s="329"/>
      <c r="CF38" s="329"/>
      <c r="CG38" s="329"/>
      <c r="CH38" s="329"/>
      <c r="CI38" s="329"/>
      <c r="CJ38" s="329"/>
      <c r="CK38" s="329"/>
      <c r="CL38" s="329"/>
      <c r="CM38" s="329"/>
      <c r="CN38" s="329"/>
      <c r="CO38" s="329"/>
      <c r="CP38" s="329"/>
      <c r="CQ38" s="329"/>
      <c r="CR38" s="329"/>
      <c r="CS38" s="329"/>
      <c r="CT38" s="329"/>
      <c r="CU38" s="329"/>
      <c r="CV38" s="329"/>
      <c r="CW38" s="329"/>
      <c r="CX38" s="329"/>
      <c r="CY38" s="329"/>
      <c r="CZ38" s="329"/>
      <c r="DA38" s="329"/>
      <c r="DB38" s="329"/>
      <c r="DC38" s="329"/>
      <c r="DD38" s="329"/>
      <c r="DE38" s="329"/>
      <c r="DF38" s="329"/>
      <c r="DG38" s="329"/>
      <c r="DH38" s="329"/>
      <c r="DI38" s="329"/>
      <c r="DJ38" s="329"/>
      <c r="DK38" s="329"/>
      <c r="DL38" s="329"/>
      <c r="DM38" s="329"/>
      <c r="DN38" s="329"/>
      <c r="DO38" s="329"/>
      <c r="DP38" s="329"/>
      <c r="DQ38" s="329"/>
      <c r="DR38" s="329"/>
      <c r="DS38" s="329"/>
      <c r="DT38" s="329"/>
      <c r="DU38" s="329"/>
      <c r="DV38" s="329"/>
      <c r="DW38" s="329"/>
      <c r="DX38" s="329"/>
      <c r="DY38" s="329"/>
      <c r="DZ38" s="329"/>
      <c r="EA38" s="329"/>
      <c r="EB38" s="329"/>
      <c r="EC38" s="329"/>
      <c r="ED38" s="329"/>
      <c r="EE38" s="329"/>
      <c r="EF38" s="329"/>
      <c r="EG38" s="329"/>
      <c r="EH38" s="329"/>
      <c r="EI38" s="329"/>
      <c r="EJ38" s="329"/>
      <c r="EK38" s="329"/>
      <c r="EL38" s="329"/>
      <c r="EM38" s="329"/>
      <c r="EN38" s="329"/>
      <c r="EO38" s="329"/>
      <c r="EP38" s="329"/>
      <c r="EQ38" s="329"/>
      <c r="ER38" s="329"/>
      <c r="ES38" s="329"/>
      <c r="ET38" s="329"/>
      <c r="EU38" s="329"/>
      <c r="EV38" s="329"/>
      <c r="EW38" s="329"/>
      <c r="EX38" s="329"/>
      <c r="EY38" s="329"/>
      <c r="EZ38" s="329"/>
      <c r="FA38" s="329"/>
      <c r="FB38" s="329"/>
      <c r="FC38" s="329"/>
      <c r="FD38" s="329"/>
      <c r="FE38" s="329"/>
      <c r="FF38" s="329"/>
      <c r="FG38" s="329"/>
      <c r="FH38" s="329"/>
      <c r="FI38" s="329"/>
      <c r="FJ38" s="329"/>
      <c r="FK38" s="329"/>
      <c r="FL38" s="329"/>
      <c r="FM38" s="329"/>
      <c r="FN38" s="329"/>
      <c r="FO38" s="329"/>
      <c r="FP38" s="329"/>
      <c r="FQ38" s="329"/>
      <c r="FR38" s="329"/>
      <c r="FS38" s="329"/>
      <c r="FT38" s="329"/>
      <c r="FU38" s="329"/>
      <c r="FV38" s="329"/>
      <c r="FW38" s="329"/>
      <c r="FX38" s="329"/>
      <c r="FY38" s="329"/>
      <c r="FZ38" s="329"/>
      <c r="GA38" s="329"/>
      <c r="GB38" s="329"/>
      <c r="GC38" s="329"/>
      <c r="GD38" s="329"/>
      <c r="GE38" s="329"/>
      <c r="GF38" s="329"/>
      <c r="GG38" s="329"/>
      <c r="GH38" s="329"/>
      <c r="GI38" s="329"/>
      <c r="GJ38" s="329"/>
      <c r="GK38" s="329"/>
      <c r="GL38" s="329"/>
      <c r="GM38" s="329"/>
      <c r="GN38" s="329"/>
      <c r="GO38" s="329"/>
      <c r="GP38" s="329"/>
      <c r="GQ38" s="329"/>
      <c r="GR38" s="329"/>
      <c r="GS38" s="329"/>
      <c r="GT38" s="329"/>
      <c r="GU38" s="329"/>
      <c r="GV38" s="329"/>
      <c r="GW38" s="329"/>
      <c r="GX38" s="329"/>
      <c r="GY38" s="329"/>
      <c r="GZ38" s="329"/>
      <c r="HA38" s="329"/>
      <c r="HB38" s="329"/>
      <c r="HC38" s="329"/>
      <c r="HD38" s="329"/>
      <c r="HE38" s="329"/>
      <c r="HF38" s="329"/>
      <c r="HG38" s="329"/>
      <c r="HH38" s="329"/>
      <c r="HI38" s="329"/>
      <c r="HJ38" s="329"/>
      <c r="HK38" s="329"/>
      <c r="HL38" s="329"/>
      <c r="HM38" s="329"/>
      <c r="HN38" s="329"/>
      <c r="HO38" s="329"/>
      <c r="HP38" s="329"/>
      <c r="HQ38" s="329"/>
      <c r="HR38" s="329"/>
      <c r="HS38" s="329"/>
      <c r="HT38" s="329"/>
      <c r="HU38" s="329"/>
      <c r="HV38" s="329"/>
      <c r="HW38" s="329"/>
      <c r="HX38" s="329"/>
      <c r="HY38" s="329"/>
      <c r="HZ38" s="329"/>
      <c r="IA38" s="329"/>
      <c r="IB38" s="329"/>
      <c r="IC38" s="329"/>
      <c r="ID38" s="329"/>
      <c r="IE38" s="329"/>
      <c r="IF38" s="329"/>
      <c r="IG38" s="329"/>
      <c r="IH38" s="329"/>
      <c r="II38" s="329"/>
      <c r="IJ38" s="329"/>
      <c r="IK38" s="329"/>
      <c r="IL38" s="329"/>
      <c r="IM38" s="329"/>
      <c r="IN38" s="329"/>
      <c r="IO38" s="329"/>
      <c r="IP38" s="329"/>
      <c r="IQ38" s="329"/>
      <c r="IR38" s="329"/>
      <c r="IS38" s="329"/>
      <c r="IT38" s="329"/>
      <c r="IU38" s="329"/>
    </row>
    <row r="39" spans="1:255" ht="25.5" x14ac:dyDescent="0.2">
      <c r="A39" s="329" t="s">
        <v>635</v>
      </c>
      <c r="B39" s="321">
        <v>1200000000</v>
      </c>
      <c r="C39" s="322">
        <v>3600000000</v>
      </c>
      <c r="D39" s="321"/>
      <c r="E39" s="322"/>
      <c r="F39" s="321"/>
      <c r="G39" s="322">
        <v>0</v>
      </c>
      <c r="H39" s="325">
        <f t="shared" si="0"/>
        <v>1200000000</v>
      </c>
      <c r="I39" s="323">
        <f>C39</f>
        <v>3600000000</v>
      </c>
    </row>
    <row r="40" spans="1:255" ht="25.5" x14ac:dyDescent="0.2">
      <c r="A40" s="320" t="s">
        <v>636</v>
      </c>
      <c r="B40" s="321"/>
      <c r="C40" s="322"/>
      <c r="D40" s="321"/>
      <c r="E40" s="322"/>
      <c r="F40" s="321"/>
      <c r="G40" s="322">
        <v>0</v>
      </c>
      <c r="H40" s="325">
        <f t="shared" si="0"/>
        <v>0</v>
      </c>
      <c r="I40" s="323">
        <f>C40+E40+G40</f>
        <v>0</v>
      </c>
      <c r="J40" s="330"/>
    </row>
    <row r="41" spans="1:255" ht="25.5" x14ac:dyDescent="0.2">
      <c r="A41" s="778" t="s">
        <v>751</v>
      </c>
      <c r="B41" s="779"/>
      <c r="C41" s="780"/>
      <c r="D41" s="779"/>
      <c r="E41" s="780"/>
      <c r="F41" s="779"/>
      <c r="G41" s="780"/>
      <c r="H41" s="325">
        <f t="shared" si="0"/>
        <v>0</v>
      </c>
      <c r="I41" s="323">
        <f>C41+E41+G41</f>
        <v>0</v>
      </c>
      <c r="J41" s="330"/>
    </row>
    <row r="42" spans="1:255" ht="25.5" x14ac:dyDescent="0.2">
      <c r="A42" s="324" t="s">
        <v>637</v>
      </c>
      <c r="B42" s="325">
        <f>B38+B41</f>
        <v>703022196</v>
      </c>
      <c r="C42" s="326">
        <f>C38+C41</f>
        <v>89634456</v>
      </c>
      <c r="D42" s="325">
        <f t="shared" ref="D42:G42" si="3">D38+D41</f>
        <v>61984535</v>
      </c>
      <c r="E42" s="326">
        <f t="shared" si="3"/>
        <v>44406000</v>
      </c>
      <c r="F42" s="325">
        <f t="shared" si="3"/>
        <v>16560971</v>
      </c>
      <c r="G42" s="326">
        <f t="shared" si="3"/>
        <v>4604062</v>
      </c>
      <c r="H42" s="325">
        <f>H38+H41+H39</f>
        <v>1981619269</v>
      </c>
      <c r="I42" s="326">
        <f>I38+I41+I39</f>
        <v>3738644518</v>
      </c>
    </row>
    <row r="43" spans="1:255" x14ac:dyDescent="0.2">
      <c r="B43" s="331"/>
      <c r="G43" s="54"/>
      <c r="H43" s="332"/>
    </row>
    <row r="44" spans="1:255" x14ac:dyDescent="0.2">
      <c r="C44" s="331"/>
      <c r="G44" s="54"/>
      <c r="H44" s="35"/>
      <c r="I44" s="35">
        <v>3738645</v>
      </c>
      <c r="J44" t="s">
        <v>884</v>
      </c>
    </row>
    <row r="45" spans="1:255" x14ac:dyDescent="0.2">
      <c r="C45" s="328"/>
      <c r="D45" s="328"/>
      <c r="E45" s="35"/>
      <c r="F45" s="35"/>
    </row>
    <row r="46" spans="1:255" ht="15" x14ac:dyDescent="0.25">
      <c r="A46" s="333"/>
      <c r="B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</row>
    <row r="48" spans="1:255" x14ac:dyDescent="0.2">
      <c r="A48" s="328"/>
      <c r="B48" s="328"/>
      <c r="C48" s="817"/>
      <c r="D48" s="328"/>
      <c r="E48" s="334"/>
      <c r="F48" s="334"/>
      <c r="H48" s="328"/>
      <c r="I48" s="328"/>
      <c r="J48" s="328"/>
      <c r="K48" s="328"/>
      <c r="L48" s="328"/>
      <c r="M48" s="328"/>
      <c r="N48" s="328"/>
      <c r="O48" s="328"/>
    </row>
    <row r="49" spans="1:14" x14ac:dyDescent="0.2">
      <c r="C49" s="328"/>
      <c r="D49" s="328"/>
    </row>
    <row r="50" spans="1:14" x14ac:dyDescent="0.2">
      <c r="C50" s="328"/>
      <c r="D50" s="328"/>
      <c r="E50" s="35"/>
      <c r="F50" s="35"/>
      <c r="H50" s="35"/>
      <c r="I50" s="35"/>
      <c r="J50" s="35"/>
      <c r="K50" s="35"/>
      <c r="L50" s="35"/>
      <c r="M50" s="35"/>
      <c r="N50" s="35"/>
    </row>
    <row r="51" spans="1:14" x14ac:dyDescent="0.2">
      <c r="C51" s="328"/>
      <c r="D51" s="328"/>
      <c r="E51" s="35"/>
      <c r="F51" s="35"/>
      <c r="H51" s="35"/>
      <c r="I51" s="35"/>
      <c r="J51" s="35"/>
      <c r="K51" s="35"/>
      <c r="L51" s="35"/>
      <c r="M51" s="35"/>
      <c r="N51" s="35"/>
    </row>
    <row r="52" spans="1:14" x14ac:dyDescent="0.2">
      <c r="C52" s="328"/>
      <c r="D52" s="328"/>
      <c r="E52" s="35"/>
      <c r="F52" s="35"/>
      <c r="H52" s="35"/>
      <c r="I52" s="35"/>
      <c r="J52" s="35"/>
      <c r="K52" s="35"/>
      <c r="L52" s="35"/>
      <c r="M52" s="35"/>
      <c r="N52" s="35"/>
    </row>
    <row r="53" spans="1:14" x14ac:dyDescent="0.2">
      <c r="E53" s="35"/>
      <c r="F53" s="35"/>
      <c r="H53" s="35"/>
      <c r="I53" s="35"/>
      <c r="J53" s="35"/>
      <c r="K53" s="35"/>
      <c r="L53" s="35"/>
      <c r="M53" s="35"/>
      <c r="N53" s="35"/>
    </row>
    <row r="54" spans="1:14" x14ac:dyDescent="0.2">
      <c r="A54" s="1011"/>
      <c r="B54" s="1011"/>
      <c r="C54" s="1011"/>
      <c r="E54" s="35"/>
      <c r="F54" s="35"/>
      <c r="H54" s="35"/>
      <c r="I54" s="35"/>
      <c r="J54" s="35"/>
      <c r="K54" s="35"/>
      <c r="L54" s="35"/>
      <c r="M54" s="35"/>
      <c r="N54" s="35"/>
    </row>
    <row r="55" spans="1:14" x14ac:dyDescent="0.2">
      <c r="A55" s="1011"/>
      <c r="B55" s="1011"/>
      <c r="C55" s="1011"/>
      <c r="E55" s="35"/>
      <c r="F55" s="35"/>
      <c r="H55" s="35"/>
      <c r="I55" s="35"/>
      <c r="J55" s="35"/>
      <c r="K55" s="35"/>
      <c r="L55" s="35"/>
      <c r="M55" s="35"/>
      <c r="N55" s="35"/>
    </row>
    <row r="56" spans="1:14" x14ac:dyDescent="0.2">
      <c r="A56" s="1011"/>
      <c r="B56" s="1011"/>
      <c r="C56" s="1011"/>
      <c r="E56" s="35"/>
      <c r="F56" s="35"/>
      <c r="H56" s="35"/>
      <c r="I56" s="35"/>
      <c r="J56" s="35"/>
      <c r="K56" s="35"/>
      <c r="L56" s="35"/>
      <c r="M56" s="35"/>
      <c r="N56" s="35"/>
    </row>
    <row r="57" spans="1:14" x14ac:dyDescent="0.2">
      <c r="A57" s="1011"/>
      <c r="B57" s="1011"/>
      <c r="C57" s="1011"/>
      <c r="E57" s="35"/>
      <c r="F57" s="35"/>
      <c r="H57" s="35"/>
      <c r="I57" s="35"/>
      <c r="J57" s="35"/>
      <c r="K57" s="35"/>
      <c r="L57" s="35"/>
      <c r="M57" s="35"/>
      <c r="N57" s="35"/>
    </row>
    <row r="58" spans="1:14" x14ac:dyDescent="0.2">
      <c r="A58" s="1011"/>
      <c r="B58" s="1011"/>
      <c r="C58" s="1011"/>
      <c r="E58" s="35"/>
      <c r="F58" s="35"/>
      <c r="H58" s="35"/>
      <c r="I58" s="35"/>
      <c r="J58" s="35"/>
      <c r="K58" s="35"/>
      <c r="L58" s="35"/>
      <c r="M58" s="35"/>
      <c r="N58" s="35"/>
    </row>
    <row r="59" spans="1:14" x14ac:dyDescent="0.2">
      <c r="A59" s="1011"/>
      <c r="B59" s="1011"/>
      <c r="C59" s="1011"/>
      <c r="E59" s="35"/>
      <c r="F59" s="35"/>
      <c r="H59" s="35"/>
      <c r="I59" s="35"/>
      <c r="J59" s="35"/>
      <c r="K59" s="35"/>
      <c r="L59" s="35"/>
      <c r="M59" s="35"/>
      <c r="N59" s="35"/>
    </row>
    <row r="60" spans="1:14" x14ac:dyDescent="0.2">
      <c r="A60" s="1011"/>
      <c r="B60" s="1011"/>
      <c r="C60" s="1011"/>
      <c r="E60" s="35"/>
      <c r="F60" s="35"/>
      <c r="H60" s="35"/>
      <c r="I60" s="35"/>
      <c r="J60" s="35"/>
      <c r="K60" s="35"/>
      <c r="L60" s="35"/>
      <c r="M60" s="35"/>
      <c r="N60" s="35"/>
    </row>
    <row r="61" spans="1:14" x14ac:dyDescent="0.2">
      <c r="A61" s="1011"/>
      <c r="B61" s="1011"/>
      <c r="C61" s="1011"/>
      <c r="E61" s="35"/>
      <c r="F61" s="35"/>
      <c r="H61" s="35"/>
      <c r="I61" s="35"/>
      <c r="J61" s="35"/>
      <c r="K61" s="35"/>
      <c r="L61" s="35"/>
      <c r="M61" s="35"/>
      <c r="N61" s="35"/>
    </row>
    <row r="62" spans="1:14" x14ac:dyDescent="0.2">
      <c r="A62" s="1011"/>
      <c r="B62" s="1011"/>
      <c r="C62" s="1011"/>
      <c r="E62" s="35"/>
      <c r="F62" s="35"/>
      <c r="H62" s="35"/>
      <c r="I62" s="35"/>
      <c r="J62" s="35"/>
      <c r="K62" s="35"/>
      <c r="L62" s="35"/>
      <c r="M62" s="35"/>
      <c r="N62" s="35"/>
    </row>
    <row r="63" spans="1:14" x14ac:dyDescent="0.2">
      <c r="A63" s="1011"/>
      <c r="B63" s="1011"/>
      <c r="C63" s="1011"/>
      <c r="E63" s="35"/>
      <c r="F63" s="35"/>
      <c r="H63" s="35"/>
      <c r="I63" s="35"/>
      <c r="J63" s="35"/>
      <c r="K63" s="35"/>
      <c r="L63" s="35"/>
      <c r="M63" s="35"/>
    </row>
    <row r="64" spans="1:14" x14ac:dyDescent="0.2">
      <c r="A64" s="1011"/>
      <c r="B64" s="1011"/>
      <c r="C64" s="1011"/>
      <c r="E64" s="35"/>
      <c r="F64" s="35"/>
      <c r="H64" s="35"/>
      <c r="I64" s="35"/>
      <c r="J64" s="35"/>
      <c r="K64" s="35"/>
      <c r="L64" s="35"/>
      <c r="M64" s="35"/>
      <c r="N64" s="35"/>
    </row>
    <row r="65" spans="1:15" x14ac:dyDescent="0.2">
      <c r="A65" s="1011"/>
      <c r="B65" s="1011"/>
      <c r="C65" s="1011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 x14ac:dyDescent="0.2">
      <c r="A66" s="1011"/>
      <c r="B66" s="1011"/>
      <c r="C66" s="1011"/>
      <c r="E66" s="35"/>
      <c r="F66" s="35"/>
    </row>
    <row r="67" spans="1:15" x14ac:dyDescent="0.2">
      <c r="A67" s="1011"/>
      <c r="B67" s="1011"/>
      <c r="C67" s="1011"/>
    </row>
  </sheetData>
  <mergeCells count="14">
    <mergeCell ref="A64:C64"/>
    <mergeCell ref="A65:C65"/>
    <mergeCell ref="A66:C66"/>
    <mergeCell ref="A67:C67"/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  <pageSetUpPr fitToPage="1"/>
  </sheetPr>
  <dimension ref="A1:J20"/>
  <sheetViews>
    <sheetView topLeftCell="A4" zoomScaleNormal="100" workbookViewId="0">
      <selection activeCell="G20" sqref="G20"/>
    </sheetView>
  </sheetViews>
  <sheetFormatPr defaultRowHeight="12.75" x14ac:dyDescent="0.2"/>
  <cols>
    <col min="1" max="1" width="75.5703125" customWidth="1"/>
    <col min="2" max="2" width="21.28515625" hidden="1" customWidth="1"/>
    <col min="3" max="3" width="17.85546875" customWidth="1"/>
    <col min="4" max="4" width="19" customWidth="1"/>
    <col min="5" max="5" width="18.7109375" customWidth="1"/>
    <col min="6" max="6" width="14.5703125" customWidth="1"/>
    <col min="7" max="7" width="21.28515625" customWidth="1"/>
    <col min="254" max="254" width="75.5703125" customWidth="1"/>
    <col min="255" max="255" width="21.42578125" customWidth="1"/>
    <col min="256" max="256" width="0" hidden="1" customWidth="1"/>
    <col min="257" max="258" width="17.85546875" customWidth="1"/>
    <col min="259" max="259" width="19" customWidth="1"/>
    <col min="260" max="260" width="22.42578125" customWidth="1"/>
    <col min="510" max="510" width="75.5703125" customWidth="1"/>
    <col min="511" max="511" width="21.42578125" customWidth="1"/>
    <col min="512" max="512" width="0" hidden="1" customWidth="1"/>
    <col min="513" max="514" width="17.85546875" customWidth="1"/>
    <col min="515" max="515" width="19" customWidth="1"/>
    <col min="516" max="516" width="22.42578125" customWidth="1"/>
    <col min="766" max="766" width="75.5703125" customWidth="1"/>
    <col min="767" max="767" width="21.42578125" customWidth="1"/>
    <col min="768" max="768" width="0" hidden="1" customWidth="1"/>
    <col min="769" max="770" width="17.85546875" customWidth="1"/>
    <col min="771" max="771" width="19" customWidth="1"/>
    <col min="772" max="772" width="22.42578125" customWidth="1"/>
    <col min="1022" max="1022" width="75.5703125" customWidth="1"/>
    <col min="1023" max="1023" width="21.42578125" customWidth="1"/>
    <col min="1024" max="1024" width="0" hidden="1" customWidth="1"/>
    <col min="1025" max="1026" width="17.85546875" customWidth="1"/>
    <col min="1027" max="1027" width="19" customWidth="1"/>
    <col min="1028" max="1028" width="22.42578125" customWidth="1"/>
    <col min="1278" max="1278" width="75.5703125" customWidth="1"/>
    <col min="1279" max="1279" width="21.42578125" customWidth="1"/>
    <col min="1280" max="1280" width="0" hidden="1" customWidth="1"/>
    <col min="1281" max="1282" width="17.85546875" customWidth="1"/>
    <col min="1283" max="1283" width="19" customWidth="1"/>
    <col min="1284" max="1284" width="22.42578125" customWidth="1"/>
    <col min="1534" max="1534" width="75.5703125" customWidth="1"/>
    <col min="1535" max="1535" width="21.42578125" customWidth="1"/>
    <col min="1536" max="1536" width="0" hidden="1" customWidth="1"/>
    <col min="1537" max="1538" width="17.85546875" customWidth="1"/>
    <col min="1539" max="1539" width="19" customWidth="1"/>
    <col min="1540" max="1540" width="22.42578125" customWidth="1"/>
    <col min="1790" max="1790" width="75.5703125" customWidth="1"/>
    <col min="1791" max="1791" width="21.42578125" customWidth="1"/>
    <col min="1792" max="1792" width="0" hidden="1" customWidth="1"/>
    <col min="1793" max="1794" width="17.85546875" customWidth="1"/>
    <col min="1795" max="1795" width="19" customWidth="1"/>
    <col min="1796" max="1796" width="22.42578125" customWidth="1"/>
    <col min="2046" max="2046" width="75.5703125" customWidth="1"/>
    <col min="2047" max="2047" width="21.42578125" customWidth="1"/>
    <col min="2048" max="2048" width="0" hidden="1" customWidth="1"/>
    <col min="2049" max="2050" width="17.85546875" customWidth="1"/>
    <col min="2051" max="2051" width="19" customWidth="1"/>
    <col min="2052" max="2052" width="22.42578125" customWidth="1"/>
    <col min="2302" max="2302" width="75.5703125" customWidth="1"/>
    <col min="2303" max="2303" width="21.42578125" customWidth="1"/>
    <col min="2304" max="2304" width="0" hidden="1" customWidth="1"/>
    <col min="2305" max="2306" width="17.85546875" customWidth="1"/>
    <col min="2307" max="2307" width="19" customWidth="1"/>
    <col min="2308" max="2308" width="22.42578125" customWidth="1"/>
    <col min="2558" max="2558" width="75.5703125" customWidth="1"/>
    <col min="2559" max="2559" width="21.42578125" customWidth="1"/>
    <col min="2560" max="2560" width="0" hidden="1" customWidth="1"/>
    <col min="2561" max="2562" width="17.85546875" customWidth="1"/>
    <col min="2563" max="2563" width="19" customWidth="1"/>
    <col min="2564" max="2564" width="22.42578125" customWidth="1"/>
    <col min="2814" max="2814" width="75.5703125" customWidth="1"/>
    <col min="2815" max="2815" width="21.42578125" customWidth="1"/>
    <col min="2816" max="2816" width="0" hidden="1" customWidth="1"/>
    <col min="2817" max="2818" width="17.85546875" customWidth="1"/>
    <col min="2819" max="2819" width="19" customWidth="1"/>
    <col min="2820" max="2820" width="22.42578125" customWidth="1"/>
    <col min="3070" max="3070" width="75.5703125" customWidth="1"/>
    <col min="3071" max="3071" width="21.42578125" customWidth="1"/>
    <col min="3072" max="3072" width="0" hidden="1" customWidth="1"/>
    <col min="3073" max="3074" width="17.85546875" customWidth="1"/>
    <col min="3075" max="3075" width="19" customWidth="1"/>
    <col min="3076" max="3076" width="22.42578125" customWidth="1"/>
    <col min="3326" max="3326" width="75.5703125" customWidth="1"/>
    <col min="3327" max="3327" width="21.42578125" customWidth="1"/>
    <col min="3328" max="3328" width="0" hidden="1" customWidth="1"/>
    <col min="3329" max="3330" width="17.85546875" customWidth="1"/>
    <col min="3331" max="3331" width="19" customWidth="1"/>
    <col min="3332" max="3332" width="22.42578125" customWidth="1"/>
    <col min="3582" max="3582" width="75.5703125" customWidth="1"/>
    <col min="3583" max="3583" width="21.42578125" customWidth="1"/>
    <col min="3584" max="3584" width="0" hidden="1" customWidth="1"/>
    <col min="3585" max="3586" width="17.85546875" customWidth="1"/>
    <col min="3587" max="3587" width="19" customWidth="1"/>
    <col min="3588" max="3588" width="22.42578125" customWidth="1"/>
    <col min="3838" max="3838" width="75.5703125" customWidth="1"/>
    <col min="3839" max="3839" width="21.42578125" customWidth="1"/>
    <col min="3840" max="3840" width="0" hidden="1" customWidth="1"/>
    <col min="3841" max="3842" width="17.85546875" customWidth="1"/>
    <col min="3843" max="3843" width="19" customWidth="1"/>
    <col min="3844" max="3844" width="22.42578125" customWidth="1"/>
    <col min="4094" max="4094" width="75.5703125" customWidth="1"/>
    <col min="4095" max="4095" width="21.42578125" customWidth="1"/>
    <col min="4096" max="4096" width="0" hidden="1" customWidth="1"/>
    <col min="4097" max="4098" width="17.85546875" customWidth="1"/>
    <col min="4099" max="4099" width="19" customWidth="1"/>
    <col min="4100" max="4100" width="22.42578125" customWidth="1"/>
    <col min="4350" max="4350" width="75.5703125" customWidth="1"/>
    <col min="4351" max="4351" width="21.42578125" customWidth="1"/>
    <col min="4352" max="4352" width="0" hidden="1" customWidth="1"/>
    <col min="4353" max="4354" width="17.85546875" customWidth="1"/>
    <col min="4355" max="4355" width="19" customWidth="1"/>
    <col min="4356" max="4356" width="22.42578125" customWidth="1"/>
    <col min="4606" max="4606" width="75.5703125" customWidth="1"/>
    <col min="4607" max="4607" width="21.42578125" customWidth="1"/>
    <col min="4608" max="4608" width="0" hidden="1" customWidth="1"/>
    <col min="4609" max="4610" width="17.85546875" customWidth="1"/>
    <col min="4611" max="4611" width="19" customWidth="1"/>
    <col min="4612" max="4612" width="22.42578125" customWidth="1"/>
    <col min="4862" max="4862" width="75.5703125" customWidth="1"/>
    <col min="4863" max="4863" width="21.42578125" customWidth="1"/>
    <col min="4864" max="4864" width="0" hidden="1" customWidth="1"/>
    <col min="4865" max="4866" width="17.85546875" customWidth="1"/>
    <col min="4867" max="4867" width="19" customWidth="1"/>
    <col min="4868" max="4868" width="22.42578125" customWidth="1"/>
    <col min="5118" max="5118" width="75.5703125" customWidth="1"/>
    <col min="5119" max="5119" width="21.42578125" customWidth="1"/>
    <col min="5120" max="5120" width="0" hidden="1" customWidth="1"/>
    <col min="5121" max="5122" width="17.85546875" customWidth="1"/>
    <col min="5123" max="5123" width="19" customWidth="1"/>
    <col min="5124" max="5124" width="22.42578125" customWidth="1"/>
    <col min="5374" max="5374" width="75.5703125" customWidth="1"/>
    <col min="5375" max="5375" width="21.42578125" customWidth="1"/>
    <col min="5376" max="5376" width="0" hidden="1" customWidth="1"/>
    <col min="5377" max="5378" width="17.85546875" customWidth="1"/>
    <col min="5379" max="5379" width="19" customWidth="1"/>
    <col min="5380" max="5380" width="22.42578125" customWidth="1"/>
    <col min="5630" max="5630" width="75.5703125" customWidth="1"/>
    <col min="5631" max="5631" width="21.42578125" customWidth="1"/>
    <col min="5632" max="5632" width="0" hidden="1" customWidth="1"/>
    <col min="5633" max="5634" width="17.85546875" customWidth="1"/>
    <col min="5635" max="5635" width="19" customWidth="1"/>
    <col min="5636" max="5636" width="22.42578125" customWidth="1"/>
    <col min="5886" max="5886" width="75.5703125" customWidth="1"/>
    <col min="5887" max="5887" width="21.42578125" customWidth="1"/>
    <col min="5888" max="5888" width="0" hidden="1" customWidth="1"/>
    <col min="5889" max="5890" width="17.85546875" customWidth="1"/>
    <col min="5891" max="5891" width="19" customWidth="1"/>
    <col min="5892" max="5892" width="22.42578125" customWidth="1"/>
    <col min="6142" max="6142" width="75.5703125" customWidth="1"/>
    <col min="6143" max="6143" width="21.42578125" customWidth="1"/>
    <col min="6144" max="6144" width="0" hidden="1" customWidth="1"/>
    <col min="6145" max="6146" width="17.85546875" customWidth="1"/>
    <col min="6147" max="6147" width="19" customWidth="1"/>
    <col min="6148" max="6148" width="22.42578125" customWidth="1"/>
    <col min="6398" max="6398" width="75.5703125" customWidth="1"/>
    <col min="6399" max="6399" width="21.42578125" customWidth="1"/>
    <col min="6400" max="6400" width="0" hidden="1" customWidth="1"/>
    <col min="6401" max="6402" width="17.85546875" customWidth="1"/>
    <col min="6403" max="6403" width="19" customWidth="1"/>
    <col min="6404" max="6404" width="22.42578125" customWidth="1"/>
    <col min="6654" max="6654" width="75.5703125" customWidth="1"/>
    <col min="6655" max="6655" width="21.42578125" customWidth="1"/>
    <col min="6656" max="6656" width="0" hidden="1" customWidth="1"/>
    <col min="6657" max="6658" width="17.85546875" customWidth="1"/>
    <col min="6659" max="6659" width="19" customWidth="1"/>
    <col min="6660" max="6660" width="22.42578125" customWidth="1"/>
    <col min="6910" max="6910" width="75.5703125" customWidth="1"/>
    <col min="6911" max="6911" width="21.42578125" customWidth="1"/>
    <col min="6912" max="6912" width="0" hidden="1" customWidth="1"/>
    <col min="6913" max="6914" width="17.85546875" customWidth="1"/>
    <col min="6915" max="6915" width="19" customWidth="1"/>
    <col min="6916" max="6916" width="22.42578125" customWidth="1"/>
    <col min="7166" max="7166" width="75.5703125" customWidth="1"/>
    <col min="7167" max="7167" width="21.42578125" customWidth="1"/>
    <col min="7168" max="7168" width="0" hidden="1" customWidth="1"/>
    <col min="7169" max="7170" width="17.85546875" customWidth="1"/>
    <col min="7171" max="7171" width="19" customWidth="1"/>
    <col min="7172" max="7172" width="22.42578125" customWidth="1"/>
    <col min="7422" max="7422" width="75.5703125" customWidth="1"/>
    <col min="7423" max="7423" width="21.42578125" customWidth="1"/>
    <col min="7424" max="7424" width="0" hidden="1" customWidth="1"/>
    <col min="7425" max="7426" width="17.85546875" customWidth="1"/>
    <col min="7427" max="7427" width="19" customWidth="1"/>
    <col min="7428" max="7428" width="22.42578125" customWidth="1"/>
    <col min="7678" max="7678" width="75.5703125" customWidth="1"/>
    <col min="7679" max="7679" width="21.42578125" customWidth="1"/>
    <col min="7680" max="7680" width="0" hidden="1" customWidth="1"/>
    <col min="7681" max="7682" width="17.85546875" customWidth="1"/>
    <col min="7683" max="7683" width="19" customWidth="1"/>
    <col min="7684" max="7684" width="22.42578125" customWidth="1"/>
    <col min="7934" max="7934" width="75.5703125" customWidth="1"/>
    <col min="7935" max="7935" width="21.42578125" customWidth="1"/>
    <col min="7936" max="7936" width="0" hidden="1" customWidth="1"/>
    <col min="7937" max="7938" width="17.85546875" customWidth="1"/>
    <col min="7939" max="7939" width="19" customWidth="1"/>
    <col min="7940" max="7940" width="22.42578125" customWidth="1"/>
    <col min="8190" max="8190" width="75.5703125" customWidth="1"/>
    <col min="8191" max="8191" width="21.42578125" customWidth="1"/>
    <col min="8192" max="8192" width="0" hidden="1" customWidth="1"/>
    <col min="8193" max="8194" width="17.85546875" customWidth="1"/>
    <col min="8195" max="8195" width="19" customWidth="1"/>
    <col min="8196" max="8196" width="22.42578125" customWidth="1"/>
    <col min="8446" max="8446" width="75.5703125" customWidth="1"/>
    <col min="8447" max="8447" width="21.42578125" customWidth="1"/>
    <col min="8448" max="8448" width="0" hidden="1" customWidth="1"/>
    <col min="8449" max="8450" width="17.85546875" customWidth="1"/>
    <col min="8451" max="8451" width="19" customWidth="1"/>
    <col min="8452" max="8452" width="22.42578125" customWidth="1"/>
    <col min="8702" max="8702" width="75.5703125" customWidth="1"/>
    <col min="8703" max="8703" width="21.42578125" customWidth="1"/>
    <col min="8704" max="8704" width="0" hidden="1" customWidth="1"/>
    <col min="8705" max="8706" width="17.85546875" customWidth="1"/>
    <col min="8707" max="8707" width="19" customWidth="1"/>
    <col min="8708" max="8708" width="22.42578125" customWidth="1"/>
    <col min="8958" max="8958" width="75.5703125" customWidth="1"/>
    <col min="8959" max="8959" width="21.42578125" customWidth="1"/>
    <col min="8960" max="8960" width="0" hidden="1" customWidth="1"/>
    <col min="8961" max="8962" width="17.85546875" customWidth="1"/>
    <col min="8963" max="8963" width="19" customWidth="1"/>
    <col min="8964" max="8964" width="22.42578125" customWidth="1"/>
    <col min="9214" max="9214" width="75.5703125" customWidth="1"/>
    <col min="9215" max="9215" width="21.42578125" customWidth="1"/>
    <col min="9216" max="9216" width="0" hidden="1" customWidth="1"/>
    <col min="9217" max="9218" width="17.85546875" customWidth="1"/>
    <col min="9219" max="9219" width="19" customWidth="1"/>
    <col min="9220" max="9220" width="22.42578125" customWidth="1"/>
    <col min="9470" max="9470" width="75.5703125" customWidth="1"/>
    <col min="9471" max="9471" width="21.42578125" customWidth="1"/>
    <col min="9472" max="9472" width="0" hidden="1" customWidth="1"/>
    <col min="9473" max="9474" width="17.85546875" customWidth="1"/>
    <col min="9475" max="9475" width="19" customWidth="1"/>
    <col min="9476" max="9476" width="22.42578125" customWidth="1"/>
    <col min="9726" max="9726" width="75.5703125" customWidth="1"/>
    <col min="9727" max="9727" width="21.42578125" customWidth="1"/>
    <col min="9728" max="9728" width="0" hidden="1" customWidth="1"/>
    <col min="9729" max="9730" width="17.85546875" customWidth="1"/>
    <col min="9731" max="9731" width="19" customWidth="1"/>
    <col min="9732" max="9732" width="22.42578125" customWidth="1"/>
    <col min="9982" max="9982" width="75.5703125" customWidth="1"/>
    <col min="9983" max="9983" width="21.42578125" customWidth="1"/>
    <col min="9984" max="9984" width="0" hidden="1" customWidth="1"/>
    <col min="9985" max="9986" width="17.85546875" customWidth="1"/>
    <col min="9987" max="9987" width="19" customWidth="1"/>
    <col min="9988" max="9988" width="22.42578125" customWidth="1"/>
    <col min="10238" max="10238" width="75.5703125" customWidth="1"/>
    <col min="10239" max="10239" width="21.42578125" customWidth="1"/>
    <col min="10240" max="10240" width="0" hidden="1" customWidth="1"/>
    <col min="10241" max="10242" width="17.85546875" customWidth="1"/>
    <col min="10243" max="10243" width="19" customWidth="1"/>
    <col min="10244" max="10244" width="22.42578125" customWidth="1"/>
    <col min="10494" max="10494" width="75.5703125" customWidth="1"/>
    <col min="10495" max="10495" width="21.42578125" customWidth="1"/>
    <col min="10496" max="10496" width="0" hidden="1" customWidth="1"/>
    <col min="10497" max="10498" width="17.85546875" customWidth="1"/>
    <col min="10499" max="10499" width="19" customWidth="1"/>
    <col min="10500" max="10500" width="22.42578125" customWidth="1"/>
    <col min="10750" max="10750" width="75.5703125" customWidth="1"/>
    <col min="10751" max="10751" width="21.42578125" customWidth="1"/>
    <col min="10752" max="10752" width="0" hidden="1" customWidth="1"/>
    <col min="10753" max="10754" width="17.85546875" customWidth="1"/>
    <col min="10755" max="10755" width="19" customWidth="1"/>
    <col min="10756" max="10756" width="22.42578125" customWidth="1"/>
    <col min="11006" max="11006" width="75.5703125" customWidth="1"/>
    <col min="11007" max="11007" width="21.42578125" customWidth="1"/>
    <col min="11008" max="11008" width="0" hidden="1" customWidth="1"/>
    <col min="11009" max="11010" width="17.85546875" customWidth="1"/>
    <col min="11011" max="11011" width="19" customWidth="1"/>
    <col min="11012" max="11012" width="22.42578125" customWidth="1"/>
    <col min="11262" max="11262" width="75.5703125" customWidth="1"/>
    <col min="11263" max="11263" width="21.42578125" customWidth="1"/>
    <col min="11264" max="11264" width="0" hidden="1" customWidth="1"/>
    <col min="11265" max="11266" width="17.85546875" customWidth="1"/>
    <col min="11267" max="11267" width="19" customWidth="1"/>
    <col min="11268" max="11268" width="22.42578125" customWidth="1"/>
    <col min="11518" max="11518" width="75.5703125" customWidth="1"/>
    <col min="11519" max="11519" width="21.42578125" customWidth="1"/>
    <col min="11520" max="11520" width="0" hidden="1" customWidth="1"/>
    <col min="11521" max="11522" width="17.85546875" customWidth="1"/>
    <col min="11523" max="11523" width="19" customWidth="1"/>
    <col min="11524" max="11524" width="22.42578125" customWidth="1"/>
    <col min="11774" max="11774" width="75.5703125" customWidth="1"/>
    <col min="11775" max="11775" width="21.42578125" customWidth="1"/>
    <col min="11776" max="11776" width="0" hidden="1" customWidth="1"/>
    <col min="11777" max="11778" width="17.85546875" customWidth="1"/>
    <col min="11779" max="11779" width="19" customWidth="1"/>
    <col min="11780" max="11780" width="22.42578125" customWidth="1"/>
    <col min="12030" max="12030" width="75.5703125" customWidth="1"/>
    <col min="12031" max="12031" width="21.42578125" customWidth="1"/>
    <col min="12032" max="12032" width="0" hidden="1" customWidth="1"/>
    <col min="12033" max="12034" width="17.85546875" customWidth="1"/>
    <col min="12035" max="12035" width="19" customWidth="1"/>
    <col min="12036" max="12036" width="22.42578125" customWidth="1"/>
    <col min="12286" max="12286" width="75.5703125" customWidth="1"/>
    <col min="12287" max="12287" width="21.42578125" customWidth="1"/>
    <col min="12288" max="12288" width="0" hidden="1" customWidth="1"/>
    <col min="12289" max="12290" width="17.85546875" customWidth="1"/>
    <col min="12291" max="12291" width="19" customWidth="1"/>
    <col min="12292" max="12292" width="22.42578125" customWidth="1"/>
    <col min="12542" max="12542" width="75.5703125" customWidth="1"/>
    <col min="12543" max="12543" width="21.42578125" customWidth="1"/>
    <col min="12544" max="12544" width="0" hidden="1" customWidth="1"/>
    <col min="12545" max="12546" width="17.85546875" customWidth="1"/>
    <col min="12547" max="12547" width="19" customWidth="1"/>
    <col min="12548" max="12548" width="22.42578125" customWidth="1"/>
    <col min="12798" max="12798" width="75.5703125" customWidth="1"/>
    <col min="12799" max="12799" width="21.42578125" customWidth="1"/>
    <col min="12800" max="12800" width="0" hidden="1" customWidth="1"/>
    <col min="12801" max="12802" width="17.85546875" customWidth="1"/>
    <col min="12803" max="12803" width="19" customWidth="1"/>
    <col min="12804" max="12804" width="22.42578125" customWidth="1"/>
    <col min="13054" max="13054" width="75.5703125" customWidth="1"/>
    <col min="13055" max="13055" width="21.42578125" customWidth="1"/>
    <col min="13056" max="13056" width="0" hidden="1" customWidth="1"/>
    <col min="13057" max="13058" width="17.85546875" customWidth="1"/>
    <col min="13059" max="13059" width="19" customWidth="1"/>
    <col min="13060" max="13060" width="22.42578125" customWidth="1"/>
    <col min="13310" max="13310" width="75.5703125" customWidth="1"/>
    <col min="13311" max="13311" width="21.42578125" customWidth="1"/>
    <col min="13312" max="13312" width="0" hidden="1" customWidth="1"/>
    <col min="13313" max="13314" width="17.85546875" customWidth="1"/>
    <col min="13315" max="13315" width="19" customWidth="1"/>
    <col min="13316" max="13316" width="22.42578125" customWidth="1"/>
    <col min="13566" max="13566" width="75.5703125" customWidth="1"/>
    <col min="13567" max="13567" width="21.42578125" customWidth="1"/>
    <col min="13568" max="13568" width="0" hidden="1" customWidth="1"/>
    <col min="13569" max="13570" width="17.85546875" customWidth="1"/>
    <col min="13571" max="13571" width="19" customWidth="1"/>
    <col min="13572" max="13572" width="22.42578125" customWidth="1"/>
    <col min="13822" max="13822" width="75.5703125" customWidth="1"/>
    <col min="13823" max="13823" width="21.42578125" customWidth="1"/>
    <col min="13824" max="13824" width="0" hidden="1" customWidth="1"/>
    <col min="13825" max="13826" width="17.85546875" customWidth="1"/>
    <col min="13827" max="13827" width="19" customWidth="1"/>
    <col min="13828" max="13828" width="22.42578125" customWidth="1"/>
    <col min="14078" max="14078" width="75.5703125" customWidth="1"/>
    <col min="14079" max="14079" width="21.42578125" customWidth="1"/>
    <col min="14080" max="14080" width="0" hidden="1" customWidth="1"/>
    <col min="14081" max="14082" width="17.85546875" customWidth="1"/>
    <col min="14083" max="14083" width="19" customWidth="1"/>
    <col min="14084" max="14084" width="22.42578125" customWidth="1"/>
    <col min="14334" max="14334" width="75.5703125" customWidth="1"/>
    <col min="14335" max="14335" width="21.42578125" customWidth="1"/>
    <col min="14336" max="14336" width="0" hidden="1" customWidth="1"/>
    <col min="14337" max="14338" width="17.85546875" customWidth="1"/>
    <col min="14339" max="14339" width="19" customWidth="1"/>
    <col min="14340" max="14340" width="22.42578125" customWidth="1"/>
    <col min="14590" max="14590" width="75.5703125" customWidth="1"/>
    <col min="14591" max="14591" width="21.42578125" customWidth="1"/>
    <col min="14592" max="14592" width="0" hidden="1" customWidth="1"/>
    <col min="14593" max="14594" width="17.85546875" customWidth="1"/>
    <col min="14595" max="14595" width="19" customWidth="1"/>
    <col min="14596" max="14596" width="22.42578125" customWidth="1"/>
    <col min="14846" max="14846" width="75.5703125" customWidth="1"/>
    <col min="14847" max="14847" width="21.42578125" customWidth="1"/>
    <col min="14848" max="14848" width="0" hidden="1" customWidth="1"/>
    <col min="14849" max="14850" width="17.85546875" customWidth="1"/>
    <col min="14851" max="14851" width="19" customWidth="1"/>
    <col min="14852" max="14852" width="22.42578125" customWidth="1"/>
    <col min="15102" max="15102" width="75.5703125" customWidth="1"/>
    <col min="15103" max="15103" width="21.42578125" customWidth="1"/>
    <col min="15104" max="15104" width="0" hidden="1" customWidth="1"/>
    <col min="15105" max="15106" width="17.85546875" customWidth="1"/>
    <col min="15107" max="15107" width="19" customWidth="1"/>
    <col min="15108" max="15108" width="22.42578125" customWidth="1"/>
    <col min="15358" max="15358" width="75.5703125" customWidth="1"/>
    <col min="15359" max="15359" width="21.42578125" customWidth="1"/>
    <col min="15360" max="15360" width="0" hidden="1" customWidth="1"/>
    <col min="15361" max="15362" width="17.85546875" customWidth="1"/>
    <col min="15363" max="15363" width="19" customWidth="1"/>
    <col min="15364" max="15364" width="22.42578125" customWidth="1"/>
    <col min="15614" max="15614" width="75.5703125" customWidth="1"/>
    <col min="15615" max="15615" width="21.42578125" customWidth="1"/>
    <col min="15616" max="15616" width="0" hidden="1" customWidth="1"/>
    <col min="15617" max="15618" width="17.85546875" customWidth="1"/>
    <col min="15619" max="15619" width="19" customWidth="1"/>
    <col min="15620" max="15620" width="22.42578125" customWidth="1"/>
    <col min="15870" max="15870" width="75.5703125" customWidth="1"/>
    <col min="15871" max="15871" width="21.42578125" customWidth="1"/>
    <col min="15872" max="15872" width="0" hidden="1" customWidth="1"/>
    <col min="15873" max="15874" width="17.85546875" customWidth="1"/>
    <col min="15875" max="15875" width="19" customWidth="1"/>
    <col min="15876" max="15876" width="22.42578125" customWidth="1"/>
    <col min="16126" max="16126" width="75.5703125" customWidth="1"/>
    <col min="16127" max="16127" width="21.42578125" customWidth="1"/>
    <col min="16128" max="16128" width="0" hidden="1" customWidth="1"/>
    <col min="16129" max="16130" width="17.85546875" customWidth="1"/>
    <col min="16131" max="16131" width="19" customWidth="1"/>
    <col min="16132" max="16132" width="22.42578125" customWidth="1"/>
  </cols>
  <sheetData>
    <row r="1" spans="1:10" ht="15.75" customHeight="1" x14ac:dyDescent="0.25">
      <c r="A1" s="1039" t="s">
        <v>136</v>
      </c>
      <c r="B1" s="1011"/>
      <c r="C1" s="1011"/>
      <c r="D1" s="1011"/>
      <c r="E1" s="1011"/>
      <c r="F1" s="1011"/>
    </row>
    <row r="2" spans="1:10" ht="15.75" customHeight="1" x14ac:dyDescent="0.25">
      <c r="A2" s="1039" t="s">
        <v>812</v>
      </c>
      <c r="B2" s="1011"/>
      <c r="C2" s="1011"/>
      <c r="D2" s="1011"/>
      <c r="E2" s="1011"/>
      <c r="F2" s="1011"/>
    </row>
    <row r="4" spans="1:10" ht="46.5" customHeight="1" x14ac:dyDescent="0.25">
      <c r="A4" s="281" t="s">
        <v>140</v>
      </c>
      <c r="B4" s="282" t="s">
        <v>464</v>
      </c>
      <c r="C4" s="282" t="s">
        <v>797</v>
      </c>
      <c r="D4" s="282" t="s">
        <v>813</v>
      </c>
      <c r="E4" s="282" t="s">
        <v>814</v>
      </c>
      <c r="F4" s="282" t="s">
        <v>802</v>
      </c>
      <c r="G4" s="282" t="s">
        <v>815</v>
      </c>
    </row>
    <row r="5" spans="1:10" ht="30" x14ac:dyDescent="0.25">
      <c r="A5" s="283" t="s">
        <v>115</v>
      </c>
      <c r="B5" s="204"/>
      <c r="C5" s="205"/>
      <c r="D5" s="205"/>
      <c r="E5" s="205"/>
      <c r="F5" s="205">
        <f>C5+D5</f>
        <v>0</v>
      </c>
      <c r="G5" s="205">
        <f>D5+E5+F5</f>
        <v>0</v>
      </c>
    </row>
    <row r="6" spans="1:10" ht="45" x14ac:dyDescent="0.25">
      <c r="A6" s="283" t="s">
        <v>118</v>
      </c>
      <c r="B6" s="204"/>
      <c r="C6" s="205"/>
      <c r="D6" s="205"/>
      <c r="E6" s="205"/>
      <c r="F6" s="205">
        <f>C6+D6</f>
        <v>0</v>
      </c>
      <c r="G6" s="205">
        <f>D6+E6+F6</f>
        <v>0</v>
      </c>
    </row>
    <row r="7" spans="1:10" ht="15" x14ac:dyDescent="0.25">
      <c r="A7" s="283" t="s">
        <v>116</v>
      </c>
      <c r="B7" s="204"/>
      <c r="C7" s="205">
        <v>1000000</v>
      </c>
      <c r="D7" s="205">
        <v>1200000</v>
      </c>
      <c r="E7" s="205"/>
      <c r="F7" s="205">
        <f>SUM(D7:E7)</f>
        <v>1200000</v>
      </c>
      <c r="G7" s="205">
        <v>3600000</v>
      </c>
      <c r="J7" s="35"/>
    </row>
    <row r="8" spans="1:10" ht="15.75" x14ac:dyDescent="0.25">
      <c r="A8" s="222" t="s">
        <v>496</v>
      </c>
      <c r="B8" s="204"/>
      <c r="C8" s="205"/>
      <c r="D8" s="205"/>
      <c r="E8" s="205"/>
      <c r="F8" s="205">
        <f>D8+E8</f>
        <v>0</v>
      </c>
      <c r="G8" s="205">
        <v>0</v>
      </c>
    </row>
    <row r="9" spans="1:10" ht="45" x14ac:dyDescent="0.25">
      <c r="A9" s="283" t="s">
        <v>117</v>
      </c>
      <c r="B9" s="204"/>
      <c r="C9" s="205"/>
      <c r="D9" s="205"/>
      <c r="E9" s="205"/>
      <c r="F9" s="205">
        <f>D9+E9</f>
        <v>0</v>
      </c>
      <c r="G9" s="205">
        <f>D9+E9+F9</f>
        <v>0</v>
      </c>
    </row>
    <row r="10" spans="1:10" ht="30" x14ac:dyDescent="0.25">
      <c r="A10" s="283" t="s">
        <v>114</v>
      </c>
      <c r="B10" s="204"/>
      <c r="C10" s="205"/>
      <c r="D10" s="205"/>
      <c r="E10" s="205"/>
      <c r="F10" s="205">
        <f>D10+E10</f>
        <v>0</v>
      </c>
      <c r="G10" s="205">
        <f>D10+E10+F10</f>
        <v>0</v>
      </c>
    </row>
    <row r="11" spans="1:10" ht="15.75" x14ac:dyDescent="0.25">
      <c r="A11" s="284" t="s">
        <v>56</v>
      </c>
      <c r="B11" s="285">
        <f>SUM(B5:B10)</f>
        <v>0</v>
      </c>
      <c r="C11" s="285">
        <f>SUM(C5:C10)</f>
        <v>1000000</v>
      </c>
      <c r="D11" s="285">
        <f>SUM(D5:D10)</f>
        <v>1200000</v>
      </c>
      <c r="E11" s="285">
        <f t="shared" ref="E11:F11" si="0">SUM(E5:E10)</f>
        <v>0</v>
      </c>
      <c r="F11" s="285">
        <f t="shared" si="0"/>
        <v>1200000</v>
      </c>
      <c r="G11" s="286">
        <f>G5+G6+G7+G8+G9+G10</f>
        <v>3600000</v>
      </c>
    </row>
    <row r="12" spans="1:10" ht="37.5" customHeight="1" x14ac:dyDescent="0.2">
      <c r="A12" s="186"/>
    </row>
    <row r="13" spans="1:10" ht="45" customHeight="1" x14ac:dyDescent="0.25">
      <c r="A13" s="281" t="s">
        <v>140</v>
      </c>
      <c r="B13" s="282" t="s">
        <v>464</v>
      </c>
      <c r="C13" s="282" t="s">
        <v>797</v>
      </c>
      <c r="D13" s="282" t="s">
        <v>813</v>
      </c>
      <c r="E13" s="282" t="s">
        <v>814</v>
      </c>
      <c r="F13" s="282" t="s">
        <v>816</v>
      </c>
      <c r="G13" s="282" t="s">
        <v>815</v>
      </c>
    </row>
    <row r="14" spans="1:10" ht="45" x14ac:dyDescent="0.25">
      <c r="A14" s="283" t="s">
        <v>119</v>
      </c>
      <c r="B14" s="204"/>
      <c r="C14" s="204"/>
      <c r="D14" s="204"/>
      <c r="E14" s="204"/>
      <c r="F14" s="204">
        <f>SUM(D14:E14)</f>
        <v>0</v>
      </c>
      <c r="G14" s="205">
        <f>D14+E14+F14</f>
        <v>0</v>
      </c>
    </row>
    <row r="15" spans="1:10" ht="30" x14ac:dyDescent="0.25">
      <c r="A15" s="283" t="s">
        <v>121</v>
      </c>
      <c r="B15" s="204"/>
      <c r="C15" s="204"/>
      <c r="D15" s="204"/>
      <c r="E15" s="204"/>
      <c r="F15" s="204">
        <f t="shared" ref="F15:F20" si="1">D15+E15</f>
        <v>0</v>
      </c>
      <c r="G15" s="205">
        <f>D15+E15+F15</f>
        <v>0</v>
      </c>
    </row>
    <row r="16" spans="1:10" ht="15.75" x14ac:dyDescent="0.3">
      <c r="A16" s="283" t="s">
        <v>502</v>
      </c>
      <c r="B16" s="204"/>
      <c r="C16" s="204"/>
      <c r="D16" s="287"/>
      <c r="E16" s="287"/>
      <c r="F16" s="205">
        <f t="shared" si="1"/>
        <v>0</v>
      </c>
      <c r="G16" s="205"/>
    </row>
    <row r="17" spans="1:7" ht="15.75" x14ac:dyDescent="0.3">
      <c r="A17" s="312" t="s">
        <v>817</v>
      </c>
      <c r="B17" s="310"/>
      <c r="C17" s="770">
        <v>1000000</v>
      </c>
      <c r="D17" s="313">
        <v>1000000</v>
      </c>
      <c r="E17" s="313"/>
      <c r="F17" s="375">
        <f t="shared" si="1"/>
        <v>1000000</v>
      </c>
      <c r="G17" s="314">
        <v>4600000</v>
      </c>
    </row>
    <row r="18" spans="1:7" ht="30.75" x14ac:dyDescent="0.3">
      <c r="A18" s="283" t="s">
        <v>134</v>
      </c>
      <c r="B18" s="287">
        <v>480088</v>
      </c>
      <c r="C18" s="287">
        <v>1158890</v>
      </c>
      <c r="D18" s="287"/>
      <c r="E18" s="287">
        <v>403984</v>
      </c>
      <c r="F18" s="375">
        <f t="shared" si="1"/>
        <v>403984</v>
      </c>
      <c r="G18" s="205">
        <v>403984</v>
      </c>
    </row>
    <row r="19" spans="1:7" ht="45" x14ac:dyDescent="0.25">
      <c r="A19" s="283" t="s">
        <v>120</v>
      </c>
      <c r="B19" s="204"/>
      <c r="C19" s="204"/>
      <c r="D19" s="204"/>
      <c r="E19" s="204"/>
      <c r="F19" s="204">
        <f t="shared" si="1"/>
        <v>0</v>
      </c>
      <c r="G19" s="205">
        <f>D19+E19+F19</f>
        <v>0</v>
      </c>
    </row>
    <row r="20" spans="1:7" ht="15.75" x14ac:dyDescent="0.25">
      <c r="A20" s="284" t="s">
        <v>57</v>
      </c>
      <c r="B20" s="285">
        <f>SUM(B14:B19)</f>
        <v>480088</v>
      </c>
      <c r="C20" s="285">
        <f>SUM(C14:C19)</f>
        <v>2158890</v>
      </c>
      <c r="D20" s="285">
        <f>SUM(D14:D19)</f>
        <v>1000000</v>
      </c>
      <c r="E20" s="285">
        <f t="shared" ref="E20:G20" si="2">SUM(E14:E19)</f>
        <v>403984</v>
      </c>
      <c r="F20" s="285">
        <f t="shared" si="1"/>
        <v>1403984</v>
      </c>
      <c r="G20" s="285">
        <f t="shared" si="2"/>
        <v>5003984</v>
      </c>
    </row>
  </sheetData>
  <mergeCells count="2">
    <mergeCell ref="A1:F1"/>
    <mergeCell ref="A2:F2"/>
  </mergeCells>
  <phoneticPr fontId="9" type="noConversion"/>
  <pageMargins left="0.74803149606299213" right="0.74803149606299213" top="0.98425196850393704" bottom="0.98425196850393704" header="0.51181102362204722" footer="0.51181102362204722"/>
  <pageSetup paperSize="8" scale="97" orientation="landscape" r:id="rId1"/>
  <headerFooter alignWithMargins="0">
    <oddHeader>&amp;R&amp;"Bookman Old Style,Normál"4.MELLÉKLET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E53"/>
  <sheetViews>
    <sheetView workbookViewId="0">
      <selection activeCell="D20" sqref="D20"/>
    </sheetView>
  </sheetViews>
  <sheetFormatPr defaultRowHeight="12.75" x14ac:dyDescent="0.2"/>
  <cols>
    <col min="1" max="1" width="69.28515625" customWidth="1"/>
    <col min="2" max="3" width="19.7109375" customWidth="1"/>
    <col min="4" max="4" width="18.5703125" customWidth="1"/>
    <col min="5" max="5" width="15.5703125" customWidth="1"/>
  </cols>
  <sheetData>
    <row r="1" spans="1:5" ht="13.5" x14ac:dyDescent="0.25">
      <c r="A1" s="1039" t="s">
        <v>503</v>
      </c>
      <c r="B1" s="1011"/>
      <c r="C1" s="1011"/>
      <c r="D1" s="266"/>
      <c r="E1" s="266"/>
    </row>
    <row r="2" spans="1:5" ht="13.5" x14ac:dyDescent="0.25">
      <c r="A2" s="1039" t="s">
        <v>821</v>
      </c>
      <c r="B2" s="1011"/>
      <c r="C2" s="1011"/>
      <c r="D2" s="266"/>
      <c r="E2" s="266"/>
    </row>
    <row r="4" spans="1:5" ht="18" x14ac:dyDescent="0.25">
      <c r="A4" s="281" t="s">
        <v>140</v>
      </c>
      <c r="B4" s="723" t="s">
        <v>818</v>
      </c>
      <c r="C4" s="723" t="s">
        <v>819</v>
      </c>
      <c r="D4" s="293"/>
      <c r="E4" s="293"/>
    </row>
    <row r="5" spans="1:5" ht="15" x14ac:dyDescent="0.2">
      <c r="A5" s="288" t="s">
        <v>128</v>
      </c>
      <c r="B5" s="724"/>
      <c r="C5" s="724"/>
    </row>
    <row r="6" spans="1:5" ht="15" x14ac:dyDescent="0.3">
      <c r="A6" s="288" t="s">
        <v>129</v>
      </c>
      <c r="B6" s="725">
        <v>0</v>
      </c>
      <c r="C6" s="725">
        <v>0</v>
      </c>
      <c r="D6" s="34"/>
      <c r="E6" s="53"/>
    </row>
    <row r="7" spans="1:5" ht="15" x14ac:dyDescent="0.3">
      <c r="A7" s="288" t="s">
        <v>504</v>
      </c>
      <c r="B7" s="725">
        <v>0</v>
      </c>
      <c r="C7" s="725">
        <v>0</v>
      </c>
      <c r="D7" s="34"/>
      <c r="E7" s="53"/>
    </row>
    <row r="8" spans="1:5" ht="15.75" x14ac:dyDescent="0.25">
      <c r="A8" s="289" t="s">
        <v>141</v>
      </c>
      <c r="B8" s="726">
        <f>B6+B7</f>
        <v>0</v>
      </c>
      <c r="C8" s="726">
        <f>C6+C7</f>
        <v>0</v>
      </c>
      <c r="D8" s="299"/>
      <c r="E8" s="294"/>
    </row>
    <row r="9" spans="1:5" x14ac:dyDescent="0.2">
      <c r="A9" s="290"/>
    </row>
    <row r="10" spans="1:5" x14ac:dyDescent="0.2">
      <c r="A10" s="290"/>
    </row>
    <row r="12" spans="1:5" ht="18" x14ac:dyDescent="0.25">
      <c r="A12" s="281" t="s">
        <v>140</v>
      </c>
      <c r="B12" s="723" t="s">
        <v>818</v>
      </c>
      <c r="C12" s="723" t="s">
        <v>819</v>
      </c>
      <c r="D12" s="293"/>
      <c r="E12" s="293"/>
    </row>
    <row r="13" spans="1:5" ht="15" x14ac:dyDescent="0.3">
      <c r="A13" s="260"/>
      <c r="B13" s="724"/>
      <c r="C13" s="724"/>
    </row>
    <row r="14" spans="1:5" ht="15" x14ac:dyDescent="0.3">
      <c r="A14" s="260"/>
      <c r="B14" s="724"/>
      <c r="C14" s="724"/>
    </row>
    <row r="15" spans="1:5" ht="15" x14ac:dyDescent="0.3">
      <c r="A15" s="260"/>
      <c r="B15" s="724"/>
      <c r="C15" s="724"/>
    </row>
    <row r="16" spans="1:5" ht="15" x14ac:dyDescent="0.3">
      <c r="A16" s="260"/>
      <c r="B16" s="724"/>
      <c r="C16" s="724"/>
    </row>
    <row r="17" spans="1:3" ht="15.75" x14ac:dyDescent="0.25">
      <c r="A17" s="289" t="s">
        <v>60</v>
      </c>
      <c r="B17" s="723">
        <v>0</v>
      </c>
      <c r="C17" s="723">
        <v>0</v>
      </c>
    </row>
    <row r="20" spans="1:3" ht="81" customHeight="1" x14ac:dyDescent="0.25">
      <c r="A20" s="264" t="s">
        <v>820</v>
      </c>
    </row>
    <row r="22" spans="1:3" ht="42" customHeight="1" x14ac:dyDescent="0.25">
      <c r="A22" s="281" t="s">
        <v>140</v>
      </c>
      <c r="B22" s="291" t="s">
        <v>822</v>
      </c>
      <c r="C22" s="59"/>
    </row>
    <row r="23" spans="1:3" ht="15" x14ac:dyDescent="0.3">
      <c r="A23" s="260" t="s">
        <v>135</v>
      </c>
      <c r="B23" s="204"/>
    </row>
    <row r="24" spans="1:3" ht="15" x14ac:dyDescent="0.3">
      <c r="A24" s="260"/>
      <c r="B24" s="204"/>
    </row>
    <row r="25" spans="1:3" ht="15" x14ac:dyDescent="0.3">
      <c r="A25" s="260"/>
      <c r="B25" s="204"/>
    </row>
    <row r="26" spans="1:3" ht="15.75" x14ac:dyDescent="0.25">
      <c r="A26" s="292" t="s">
        <v>61</v>
      </c>
      <c r="B26" s="204"/>
    </row>
    <row r="28" spans="1:3" ht="15.75" x14ac:dyDescent="0.25">
      <c r="A28" s="265"/>
      <c r="B28" s="266"/>
      <c r="C28" s="266"/>
    </row>
    <row r="29" spans="1:3" ht="15.75" x14ac:dyDescent="0.25">
      <c r="A29" s="265"/>
      <c r="B29" s="266"/>
      <c r="C29" s="266"/>
    </row>
    <row r="31" spans="1:3" ht="18" x14ac:dyDescent="0.25">
      <c r="A31" s="296"/>
      <c r="B31" s="293"/>
      <c r="C31" s="293"/>
    </row>
    <row r="32" spans="1:3" ht="15" x14ac:dyDescent="0.3">
      <c r="A32" s="297"/>
      <c r="B32" s="34"/>
      <c r="C32" s="34"/>
    </row>
    <row r="33" spans="1:3" ht="15" x14ac:dyDescent="0.3">
      <c r="A33" s="297"/>
      <c r="B33" s="34"/>
      <c r="C33" s="34"/>
    </row>
    <row r="34" spans="1:3" ht="15" x14ac:dyDescent="0.3">
      <c r="A34" s="297"/>
      <c r="B34" s="34"/>
      <c r="C34" s="34"/>
    </row>
    <row r="35" spans="1:3" ht="15.75" x14ac:dyDescent="0.25">
      <c r="A35" s="298"/>
      <c r="B35" s="299"/>
      <c r="C35" s="299"/>
    </row>
    <row r="36" spans="1:3" x14ac:dyDescent="0.2">
      <c r="A36" s="290"/>
    </row>
    <row r="37" spans="1:3" x14ac:dyDescent="0.2">
      <c r="A37" s="290"/>
    </row>
    <row r="39" spans="1:3" ht="18" x14ac:dyDescent="0.25">
      <c r="A39" s="296"/>
      <c r="B39" s="293"/>
      <c r="C39" s="293"/>
    </row>
    <row r="40" spans="1:3" ht="15" x14ac:dyDescent="0.3">
      <c r="A40" s="2"/>
      <c r="B40" s="2"/>
      <c r="C40" s="2"/>
    </row>
    <row r="41" spans="1:3" ht="15" x14ac:dyDescent="0.3">
      <c r="A41" s="2"/>
      <c r="B41" s="2"/>
      <c r="C41" s="2"/>
    </row>
    <row r="42" spans="1:3" ht="15" x14ac:dyDescent="0.3">
      <c r="A42" s="2"/>
      <c r="B42" s="2"/>
      <c r="C42" s="2"/>
    </row>
    <row r="43" spans="1:3" ht="15" x14ac:dyDescent="0.3">
      <c r="A43" s="2"/>
      <c r="B43" s="2"/>
      <c r="C43" s="2"/>
    </row>
    <row r="44" spans="1:3" ht="16.5" x14ac:dyDescent="0.3">
      <c r="A44" s="298"/>
      <c r="B44" s="2"/>
      <c r="C44" s="2"/>
    </row>
    <row r="47" spans="1:3" ht="15.75" x14ac:dyDescent="0.25">
      <c r="A47" s="1040"/>
      <c r="B47" s="1040"/>
      <c r="C47" s="264"/>
    </row>
    <row r="49" spans="1:3" ht="18" x14ac:dyDescent="0.25">
      <c r="A49" s="296"/>
      <c r="B49" s="59"/>
      <c r="C49" s="59"/>
    </row>
    <row r="50" spans="1:3" ht="15" x14ac:dyDescent="0.3">
      <c r="A50" s="2"/>
      <c r="B50" s="2"/>
      <c r="C50" s="2"/>
    </row>
    <row r="51" spans="1:3" ht="15" x14ac:dyDescent="0.3">
      <c r="A51" s="2"/>
      <c r="B51" s="2"/>
      <c r="C51" s="2"/>
    </row>
    <row r="52" spans="1:3" ht="15" x14ac:dyDescent="0.3">
      <c r="A52" s="2"/>
      <c r="B52" s="2"/>
      <c r="C52" s="2"/>
    </row>
    <row r="53" spans="1:3" ht="16.5" x14ac:dyDescent="0.3">
      <c r="A53" s="264"/>
      <c r="B53" s="2"/>
      <c r="C53" s="2"/>
    </row>
  </sheetData>
  <mergeCells count="3">
    <mergeCell ref="A47:B47"/>
    <mergeCell ref="A1:C1"/>
    <mergeCell ref="A2:C2"/>
  </mergeCells>
  <phoneticPr fontId="9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>
    <oddHeader>&amp;R&amp;"Bookman Old Style,Normál"5.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3"/>
  <sheetViews>
    <sheetView workbookViewId="0">
      <selection activeCell="H6" sqref="H6"/>
    </sheetView>
  </sheetViews>
  <sheetFormatPr defaultRowHeight="12.75" x14ac:dyDescent="0.2"/>
  <cols>
    <col min="1" max="1" width="46.28515625" customWidth="1"/>
    <col min="2" max="3" width="16.5703125" customWidth="1"/>
    <col min="4" max="4" width="13" customWidth="1"/>
    <col min="5" max="5" width="13.5703125" customWidth="1"/>
    <col min="6" max="6" width="16.28515625" customWidth="1"/>
    <col min="7" max="7" width="17.42578125" customWidth="1"/>
    <col min="8" max="9" width="22.28515625" customWidth="1"/>
    <col min="10" max="10" width="21.7109375" customWidth="1"/>
  </cols>
  <sheetData>
    <row r="1" spans="1:11" ht="15.75" x14ac:dyDescent="0.25">
      <c r="A1" s="1039" t="s">
        <v>136</v>
      </c>
      <c r="B1" s="1040"/>
      <c r="C1" s="1040"/>
      <c r="D1" s="1042"/>
      <c r="E1" s="1042"/>
      <c r="F1" s="1042"/>
      <c r="G1" s="1042"/>
    </row>
    <row r="2" spans="1:11" ht="15.75" x14ac:dyDescent="0.25">
      <c r="A2" s="1039" t="s">
        <v>148</v>
      </c>
      <c r="B2" s="1039"/>
      <c r="C2" s="1039"/>
      <c r="D2" s="1042"/>
      <c r="E2" s="1042"/>
      <c r="F2" s="1042"/>
      <c r="G2" s="1042"/>
    </row>
    <row r="4" spans="1:11" ht="15.75" x14ac:dyDescent="0.3">
      <c r="A4" s="20" t="s">
        <v>62</v>
      </c>
      <c r="B4" s="1043" t="s">
        <v>129</v>
      </c>
      <c r="C4" s="1043"/>
      <c r="D4" s="1044"/>
      <c r="E4" s="1044"/>
      <c r="F4" s="1044"/>
      <c r="G4" s="1044"/>
      <c r="H4" s="2"/>
      <c r="I4" s="54"/>
      <c r="K4" s="54"/>
    </row>
    <row r="5" spans="1:11" ht="17.25" thickBot="1" x14ac:dyDescent="0.35">
      <c r="A5" s="2"/>
      <c r="B5" s="2"/>
      <c r="C5" s="2"/>
      <c r="D5" s="2"/>
      <c r="E5" s="2"/>
      <c r="F5" s="2"/>
      <c r="G5" s="22" t="s">
        <v>149</v>
      </c>
      <c r="H5" s="2"/>
      <c r="I5" s="57" t="s">
        <v>159</v>
      </c>
    </row>
    <row r="6" spans="1:11" ht="18" x14ac:dyDescent="0.25">
      <c r="A6" s="41" t="s">
        <v>63</v>
      </c>
      <c r="B6" s="42" t="s">
        <v>144</v>
      </c>
      <c r="C6" s="42" t="s">
        <v>158</v>
      </c>
      <c r="D6" s="42" t="s">
        <v>74</v>
      </c>
      <c r="E6" s="42" t="s">
        <v>145</v>
      </c>
      <c r="F6" s="42" t="s">
        <v>146</v>
      </c>
      <c r="G6" s="43" t="s">
        <v>61</v>
      </c>
      <c r="I6" s="53"/>
    </row>
    <row r="7" spans="1:11" ht="15.75" x14ac:dyDescent="0.3">
      <c r="A7" s="44" t="s">
        <v>65</v>
      </c>
      <c r="B7" s="25">
        <v>1635675</v>
      </c>
      <c r="C7" s="25">
        <v>1635675</v>
      </c>
      <c r="D7" s="25">
        <v>259417</v>
      </c>
      <c r="E7" s="26"/>
      <c r="F7" s="26">
        <v>529036</v>
      </c>
      <c r="G7" s="45">
        <f>SUM(C7:F7)</f>
        <v>2424128</v>
      </c>
      <c r="H7" s="2"/>
      <c r="I7" s="57" t="s">
        <v>160</v>
      </c>
      <c r="J7" s="53">
        <v>7140000</v>
      </c>
    </row>
    <row r="8" spans="1:11" ht="15.75" x14ac:dyDescent="0.3">
      <c r="A8" s="44" t="s">
        <v>66</v>
      </c>
      <c r="B8" s="25"/>
      <c r="C8" s="25"/>
      <c r="D8" s="25"/>
      <c r="E8" s="26"/>
      <c r="F8" s="26"/>
      <c r="G8" s="45">
        <f>SUM(C8:F8)</f>
        <v>0</v>
      </c>
      <c r="H8" s="2"/>
      <c r="I8" s="57" t="s">
        <v>161</v>
      </c>
      <c r="J8" s="53">
        <v>8775000</v>
      </c>
    </row>
    <row r="9" spans="1:11" ht="15.75" x14ac:dyDescent="0.3">
      <c r="A9" s="44" t="s">
        <v>67</v>
      </c>
      <c r="B9" s="25">
        <v>581353</v>
      </c>
      <c r="C9" s="25">
        <v>581353</v>
      </c>
      <c r="D9" s="56">
        <v>294037</v>
      </c>
      <c r="E9" s="26"/>
      <c r="F9" s="26">
        <v>3967</v>
      </c>
      <c r="G9" s="45">
        <f>SUM(C9:F9)</f>
        <v>879357</v>
      </c>
      <c r="H9" s="2"/>
      <c r="I9" s="57" t="s">
        <v>162</v>
      </c>
      <c r="J9" s="53">
        <v>1500000</v>
      </c>
    </row>
    <row r="10" spans="1:11" ht="16.5" x14ac:dyDescent="0.3">
      <c r="A10" s="46" t="s">
        <v>61</v>
      </c>
      <c r="B10" s="13">
        <f>SUM(B7:B9)</f>
        <v>2217028</v>
      </c>
      <c r="C10" s="13">
        <f>SUM(C7:C9)</f>
        <v>2217028</v>
      </c>
      <c r="D10" s="13">
        <f>SUM(D7:D9)</f>
        <v>553454</v>
      </c>
      <c r="E10" s="13">
        <f>SUM(E7:E9)</f>
        <v>0</v>
      </c>
      <c r="F10" s="13">
        <f>SUM(F7:F9)</f>
        <v>533003</v>
      </c>
      <c r="G10" s="58">
        <f>SUM(C10:F10)</f>
        <v>3303485</v>
      </c>
      <c r="H10" s="2"/>
      <c r="I10" s="57" t="s">
        <v>163</v>
      </c>
      <c r="J10" s="53">
        <v>12544237</v>
      </c>
    </row>
    <row r="11" spans="1:11" ht="15" x14ac:dyDescent="0.3">
      <c r="A11" s="1045"/>
      <c r="B11" s="1046"/>
      <c r="C11" s="1046"/>
      <c r="D11" s="1046"/>
      <c r="E11" s="1046"/>
      <c r="F11" s="1046"/>
      <c r="G11" s="1047"/>
      <c r="H11" s="2"/>
      <c r="I11" s="57" t="s">
        <v>164</v>
      </c>
      <c r="J11" s="53">
        <f>SUM(J7:J10)</f>
        <v>29959237</v>
      </c>
    </row>
    <row r="12" spans="1:11" ht="18.75" x14ac:dyDescent="0.3">
      <c r="A12" s="47" t="s">
        <v>68</v>
      </c>
      <c r="B12" s="24" t="s">
        <v>73</v>
      </c>
      <c r="C12" s="24"/>
      <c r="D12" s="24" t="s">
        <v>74</v>
      </c>
      <c r="E12" s="24" t="s">
        <v>145</v>
      </c>
      <c r="F12" s="24" t="s">
        <v>147</v>
      </c>
      <c r="G12" s="48" t="s">
        <v>61</v>
      </c>
      <c r="H12" s="2"/>
      <c r="I12" s="55"/>
    </row>
    <row r="13" spans="1:11" ht="15" x14ac:dyDescent="0.3">
      <c r="A13" s="49" t="s">
        <v>31</v>
      </c>
      <c r="B13" s="17"/>
      <c r="C13" s="17"/>
      <c r="D13" s="26"/>
      <c r="E13" s="26"/>
      <c r="F13" s="26"/>
      <c r="G13" s="45">
        <v>0</v>
      </c>
      <c r="H13" s="2"/>
      <c r="I13" s="57" t="s">
        <v>165</v>
      </c>
      <c r="J13" s="53">
        <f>J11*1.27</f>
        <v>38048230.990000002</v>
      </c>
    </row>
    <row r="14" spans="1:11" ht="15" x14ac:dyDescent="0.3">
      <c r="A14" s="49" t="s">
        <v>69</v>
      </c>
      <c r="B14" s="17"/>
      <c r="C14" s="17"/>
      <c r="D14" s="26"/>
      <c r="E14" s="26"/>
      <c r="F14" s="26"/>
      <c r="G14" s="45">
        <v>0</v>
      </c>
      <c r="H14" s="2"/>
      <c r="I14" s="54"/>
    </row>
    <row r="15" spans="1:11" ht="15" x14ac:dyDescent="0.3">
      <c r="A15" s="49" t="s">
        <v>28</v>
      </c>
      <c r="B15" s="17">
        <v>10255</v>
      </c>
      <c r="C15" s="17">
        <v>38048</v>
      </c>
      <c r="D15" s="26">
        <v>3212</v>
      </c>
      <c r="E15" s="26"/>
      <c r="F15" s="26">
        <v>2381</v>
      </c>
      <c r="G15" s="45">
        <f>C15+D15+F15</f>
        <v>43641</v>
      </c>
      <c r="H15" s="34"/>
      <c r="I15" s="54"/>
    </row>
    <row r="16" spans="1:11" ht="15" x14ac:dyDescent="0.3">
      <c r="A16" s="49" t="s">
        <v>19</v>
      </c>
      <c r="B16" s="40"/>
      <c r="C16" s="40"/>
      <c r="D16" s="40"/>
      <c r="E16" s="26"/>
      <c r="F16" s="26"/>
      <c r="G16" s="45">
        <f>C16+D16+F16</f>
        <v>0</v>
      </c>
      <c r="H16" s="2"/>
      <c r="I16" s="54"/>
    </row>
    <row r="17" spans="1:10" ht="15.75" x14ac:dyDescent="0.3">
      <c r="A17" s="49" t="s">
        <v>70</v>
      </c>
      <c r="B17" s="25">
        <v>2206773</v>
      </c>
      <c r="C17" s="25">
        <v>2178980</v>
      </c>
      <c r="D17" s="25">
        <v>550242</v>
      </c>
      <c r="E17" s="26"/>
      <c r="F17" s="26">
        <v>530622</v>
      </c>
      <c r="G17" s="45">
        <f>C17+D17+F17</f>
        <v>3259844</v>
      </c>
      <c r="H17" s="2"/>
      <c r="I17" s="54"/>
      <c r="J17" s="54"/>
    </row>
    <row r="18" spans="1:10" ht="15" x14ac:dyDescent="0.3">
      <c r="A18" s="49" t="s">
        <v>71</v>
      </c>
      <c r="B18" s="17"/>
      <c r="C18" s="17"/>
      <c r="D18" s="26"/>
      <c r="E18" s="26"/>
      <c r="F18" s="26"/>
      <c r="G18" s="45">
        <f>C18+D18+F18</f>
        <v>0</v>
      </c>
      <c r="H18" s="2"/>
    </row>
    <row r="19" spans="1:10" ht="17.25" thickBot="1" x14ac:dyDescent="0.35">
      <c r="A19" s="50" t="s">
        <v>61</v>
      </c>
      <c r="B19" s="51">
        <f>SUM(B13:B18)</f>
        <v>2217028</v>
      </c>
      <c r="C19" s="51">
        <f>SUM(C13:C18)</f>
        <v>2217028</v>
      </c>
      <c r="D19" s="51">
        <f>SUM(D13:D18)</f>
        <v>553454</v>
      </c>
      <c r="E19" s="51">
        <f>SUM(E13:E18)</f>
        <v>0</v>
      </c>
      <c r="F19" s="51">
        <f>SUM(F13:F18)</f>
        <v>533003</v>
      </c>
      <c r="G19" s="58">
        <f>C19+D19+F19</f>
        <v>3303485</v>
      </c>
      <c r="H19" s="2"/>
    </row>
    <row r="20" spans="1:10" ht="15" x14ac:dyDescent="0.3">
      <c r="A20" s="2"/>
      <c r="B20" s="2"/>
      <c r="C20" s="2"/>
      <c r="D20" s="2"/>
      <c r="E20" s="2"/>
      <c r="F20" s="2"/>
      <c r="G20" s="2"/>
      <c r="H20" s="2"/>
    </row>
    <row r="21" spans="1:10" ht="15" x14ac:dyDescent="0.3">
      <c r="A21" s="2"/>
      <c r="B21" s="2"/>
      <c r="C21" s="2"/>
      <c r="D21" s="2"/>
      <c r="E21" s="2"/>
      <c r="F21" s="2"/>
      <c r="G21" s="2"/>
      <c r="H21" s="2"/>
    </row>
    <row r="22" spans="1:10" ht="15.75" customHeight="1" x14ac:dyDescent="0.3">
      <c r="A22" s="20" t="s">
        <v>62</v>
      </c>
      <c r="B22" s="1043" t="s">
        <v>128</v>
      </c>
      <c r="C22" s="1043"/>
      <c r="D22" s="1044"/>
      <c r="E22" s="1044"/>
      <c r="F22" s="1044"/>
      <c r="G22" s="1044"/>
      <c r="H22" s="2"/>
    </row>
    <row r="23" spans="1:10" ht="15" x14ac:dyDescent="0.3">
      <c r="A23" s="2"/>
      <c r="B23" s="2"/>
      <c r="C23" s="2"/>
      <c r="D23" s="21"/>
      <c r="E23" s="21"/>
      <c r="F23" s="21"/>
      <c r="G23" s="21"/>
      <c r="H23" s="2"/>
    </row>
    <row r="24" spans="1:10" ht="18.75" x14ac:dyDescent="0.3">
      <c r="A24" s="23" t="s">
        <v>63</v>
      </c>
      <c r="B24" s="24" t="s">
        <v>72</v>
      </c>
      <c r="C24" s="24"/>
      <c r="D24" s="24" t="s">
        <v>73</v>
      </c>
      <c r="E24" s="24" t="s">
        <v>74</v>
      </c>
      <c r="F24" s="24" t="s">
        <v>64</v>
      </c>
      <c r="G24" s="28" t="s">
        <v>61</v>
      </c>
      <c r="H24" s="2"/>
    </row>
    <row r="25" spans="1:10" ht="15.75" x14ac:dyDescent="0.3">
      <c r="A25" s="25" t="s">
        <v>65</v>
      </c>
      <c r="B25" s="25"/>
      <c r="C25" s="25"/>
      <c r="D25" s="26"/>
      <c r="E25" s="26"/>
      <c r="F25" s="26"/>
      <c r="G25" s="26"/>
      <c r="H25" s="2"/>
    </row>
    <row r="26" spans="1:10" ht="15.75" x14ac:dyDescent="0.3">
      <c r="A26" s="25" t="s">
        <v>66</v>
      </c>
      <c r="B26" s="25"/>
      <c r="C26" s="25"/>
      <c r="D26" s="26"/>
      <c r="E26" s="26"/>
      <c r="F26" s="26"/>
      <c r="G26" s="26"/>
      <c r="H26" s="2"/>
    </row>
    <row r="27" spans="1:10" ht="15.75" x14ac:dyDescent="0.3">
      <c r="A27" s="25" t="s">
        <v>67</v>
      </c>
      <c r="B27" s="25"/>
      <c r="C27" s="25"/>
      <c r="D27" s="26"/>
      <c r="E27" s="26"/>
      <c r="F27" s="26"/>
      <c r="G27" s="26"/>
      <c r="H27" s="2"/>
    </row>
    <row r="28" spans="1:10" ht="16.5" x14ac:dyDescent="0.3">
      <c r="A28" s="13" t="s">
        <v>61</v>
      </c>
      <c r="B28" s="13"/>
      <c r="C28" s="13"/>
      <c r="D28" s="27"/>
      <c r="E28" s="27"/>
      <c r="F28" s="27"/>
      <c r="G28" s="27">
        <v>0</v>
      </c>
      <c r="H28" s="2"/>
    </row>
    <row r="29" spans="1:10" ht="15" x14ac:dyDescent="0.3">
      <c r="A29" s="1041"/>
      <c r="B29" s="1041"/>
      <c r="C29" s="1041"/>
      <c r="D29" s="1041"/>
      <c r="E29" s="1041"/>
      <c r="F29" s="1041"/>
      <c r="G29" s="1041"/>
      <c r="H29" s="2"/>
    </row>
    <row r="30" spans="1:10" ht="18.75" x14ac:dyDescent="0.3">
      <c r="A30" s="23" t="s">
        <v>68</v>
      </c>
      <c r="B30" s="24" t="s">
        <v>72</v>
      </c>
      <c r="C30" s="24"/>
      <c r="D30" s="24" t="s">
        <v>73</v>
      </c>
      <c r="E30" s="24" t="s">
        <v>74</v>
      </c>
      <c r="F30" s="24" t="s">
        <v>64</v>
      </c>
      <c r="G30" s="28" t="s">
        <v>61</v>
      </c>
      <c r="H30" s="2"/>
    </row>
    <row r="31" spans="1:10" ht="15" x14ac:dyDescent="0.3">
      <c r="A31" s="17" t="s">
        <v>31</v>
      </c>
      <c r="B31" s="17"/>
      <c r="C31" s="17"/>
      <c r="D31" s="26"/>
      <c r="E31" s="26"/>
      <c r="F31" s="26"/>
      <c r="G31" s="26"/>
      <c r="H31" s="2"/>
    </row>
    <row r="32" spans="1:10" ht="15" x14ac:dyDescent="0.3">
      <c r="A32" s="17" t="s">
        <v>69</v>
      </c>
      <c r="B32" s="17"/>
      <c r="C32" s="17"/>
      <c r="D32" s="26"/>
      <c r="E32" s="26"/>
      <c r="F32" s="26"/>
      <c r="G32" s="26"/>
      <c r="H32" s="2"/>
    </row>
    <row r="33" spans="1:8" ht="15" x14ac:dyDescent="0.3">
      <c r="A33" s="17" t="s">
        <v>28</v>
      </c>
      <c r="B33" s="17"/>
      <c r="C33" s="17"/>
      <c r="D33" s="26"/>
      <c r="E33" s="26"/>
      <c r="F33" s="26"/>
      <c r="G33" s="26"/>
      <c r="H33" s="2"/>
    </row>
    <row r="34" spans="1:8" ht="15" x14ac:dyDescent="0.3">
      <c r="A34" s="17" t="s">
        <v>19</v>
      </c>
      <c r="B34" s="17"/>
      <c r="C34" s="17"/>
      <c r="D34" s="26"/>
      <c r="E34" s="26"/>
      <c r="F34" s="26"/>
      <c r="G34" s="26"/>
      <c r="H34" s="2"/>
    </row>
    <row r="35" spans="1:8" ht="15" x14ac:dyDescent="0.3">
      <c r="A35" s="17" t="s">
        <v>70</v>
      </c>
      <c r="B35" s="17"/>
      <c r="C35" s="17"/>
      <c r="D35" s="26"/>
      <c r="E35" s="26"/>
      <c r="F35" s="26"/>
      <c r="G35" s="26"/>
      <c r="H35" s="2"/>
    </row>
    <row r="36" spans="1:8" ht="15" x14ac:dyDescent="0.3">
      <c r="A36" s="17" t="s">
        <v>71</v>
      </c>
      <c r="B36" s="17"/>
      <c r="C36" s="17"/>
      <c r="D36" s="26"/>
      <c r="E36" s="26"/>
      <c r="F36" s="26"/>
      <c r="G36" s="26"/>
      <c r="H36" s="2"/>
    </row>
    <row r="37" spans="1:8" ht="16.5" x14ac:dyDescent="0.3">
      <c r="A37" s="13" t="s">
        <v>61</v>
      </c>
      <c r="B37" s="13"/>
      <c r="C37" s="13"/>
      <c r="D37" s="13"/>
      <c r="E37" s="13"/>
      <c r="F37" s="13"/>
      <c r="G37" s="13">
        <v>0</v>
      </c>
      <c r="H37" s="2"/>
    </row>
    <row r="38" spans="1:8" ht="15" x14ac:dyDescent="0.3">
      <c r="A38" s="2"/>
      <c r="B38" s="2"/>
      <c r="C38" s="2"/>
      <c r="D38" s="2"/>
      <c r="E38" s="2"/>
      <c r="F38" s="2"/>
      <c r="G38" s="2"/>
      <c r="H38" s="2"/>
    </row>
    <row r="39" spans="1:8" ht="15" x14ac:dyDescent="0.3">
      <c r="A39" s="2"/>
      <c r="B39" s="2"/>
      <c r="C39" s="2"/>
      <c r="D39" s="2"/>
      <c r="E39" s="2"/>
      <c r="F39" s="2"/>
      <c r="G39" s="2"/>
      <c r="H39" s="2"/>
    </row>
    <row r="40" spans="1:8" ht="15" x14ac:dyDescent="0.3">
      <c r="A40" s="2"/>
      <c r="B40" s="2"/>
      <c r="C40" s="2"/>
      <c r="D40" s="2"/>
      <c r="E40" s="2"/>
      <c r="F40" s="2"/>
      <c r="G40" s="2"/>
      <c r="H40" s="2"/>
    </row>
    <row r="41" spans="1:8" ht="15" x14ac:dyDescent="0.3">
      <c r="A41" s="2"/>
      <c r="B41" s="2"/>
      <c r="C41" s="2"/>
      <c r="D41" s="2"/>
      <c r="E41" s="2"/>
      <c r="F41" s="2"/>
      <c r="G41" s="2"/>
      <c r="H41" s="2"/>
    </row>
    <row r="42" spans="1:8" ht="15" x14ac:dyDescent="0.3">
      <c r="A42" s="2"/>
      <c r="B42" s="2"/>
      <c r="C42" s="2"/>
      <c r="D42" s="2"/>
      <c r="E42" s="2"/>
      <c r="F42" s="2"/>
      <c r="G42" s="2"/>
      <c r="H42" s="2"/>
    </row>
    <row r="43" spans="1:8" ht="15" x14ac:dyDescent="0.3">
      <c r="A43" s="2"/>
      <c r="B43" s="2"/>
      <c r="C43" s="2"/>
      <c r="D43" s="2"/>
      <c r="E43" s="2"/>
      <c r="F43" s="2"/>
      <c r="G43" s="2"/>
      <c r="H43" s="2"/>
    </row>
  </sheetData>
  <mergeCells count="6">
    <mergeCell ref="A29:G29"/>
    <mergeCell ref="A1:G1"/>
    <mergeCell ref="A2:G2"/>
    <mergeCell ref="B4:G4"/>
    <mergeCell ref="A11:G11"/>
    <mergeCell ref="B22:G22"/>
  </mergeCells>
  <phoneticPr fontId="0" type="noConversion"/>
  <pageMargins left="0.75" right="0.75" top="1" bottom="1" header="0.5" footer="0.5"/>
  <pageSetup paperSize="9" scale="77" orientation="landscape" r:id="rId1"/>
  <headerFooter alignWithMargins="0">
    <oddHeader>&amp;R&amp;"Bookman Old Style,Normál"5. MELLÉKLET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77C4A-9A29-4D7F-B728-3A0DB3A972C6}">
  <sheetPr>
    <tabColor rgb="FFFF0000"/>
  </sheetPr>
  <dimension ref="A1:X89"/>
  <sheetViews>
    <sheetView topLeftCell="C16" zoomScaleNormal="100" workbookViewId="0">
      <selection activeCell="Q39" sqref="Q39"/>
    </sheetView>
  </sheetViews>
  <sheetFormatPr defaultRowHeight="12.75" x14ac:dyDescent="0.2"/>
  <cols>
    <col min="1" max="1" width="8.140625" customWidth="1"/>
    <col min="4" max="4" width="14.42578125" customWidth="1"/>
    <col min="5" max="5" width="11.85546875" customWidth="1"/>
    <col min="6" max="6" width="13.140625" customWidth="1"/>
    <col min="7" max="7" width="10.140625" style="864" customWidth="1"/>
    <col min="8" max="8" width="13.28515625" customWidth="1"/>
    <col min="9" max="9" width="17.28515625" customWidth="1"/>
    <col min="10" max="11" width="14" style="864" customWidth="1"/>
    <col min="12" max="12" width="13.85546875" customWidth="1"/>
    <col min="13" max="14" width="14.28515625" customWidth="1"/>
    <col min="15" max="15" width="14.85546875" style="864" customWidth="1"/>
    <col min="16" max="16" width="12.42578125" customWidth="1"/>
    <col min="17" max="17" width="14.140625" customWidth="1"/>
    <col min="18" max="18" width="16.28515625" customWidth="1"/>
    <col min="19" max="19" width="16.28515625" style="864" customWidth="1"/>
    <col min="20" max="20" width="16.28515625" customWidth="1"/>
    <col min="21" max="21" width="17.7109375" customWidth="1"/>
    <col min="24" max="24" width="12.28515625" bestFit="1" customWidth="1"/>
  </cols>
  <sheetData>
    <row r="1" spans="1:24" x14ac:dyDescent="0.2">
      <c r="G1"/>
      <c r="J1"/>
      <c r="K1"/>
      <c r="O1"/>
      <c r="S1"/>
    </row>
    <row r="2" spans="1:24" ht="15" x14ac:dyDescent="0.25">
      <c r="B2" s="1051" t="s">
        <v>473</v>
      </c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</row>
    <row r="3" spans="1:24" x14ac:dyDescent="0.2">
      <c r="G3"/>
      <c r="J3"/>
      <c r="K3"/>
      <c r="O3"/>
      <c r="S3"/>
    </row>
    <row r="4" spans="1:24" ht="15.75" thickBot="1" x14ac:dyDescent="0.3">
      <c r="B4" s="1053" t="s">
        <v>823</v>
      </c>
      <c r="C4" s="1054"/>
      <c r="D4" s="1054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  <c r="S4" s="1054"/>
      <c r="T4" s="1054"/>
      <c r="U4" s="1054"/>
    </row>
    <row r="5" spans="1:24" ht="15" x14ac:dyDescent="0.25">
      <c r="B5" s="60"/>
      <c r="C5" s="62"/>
      <c r="D5" s="224"/>
      <c r="E5" s="1055" t="s">
        <v>474</v>
      </c>
      <c r="F5" s="1056"/>
      <c r="G5" s="1056"/>
      <c r="H5" s="1057"/>
      <c r="I5" s="1058" t="s">
        <v>475</v>
      </c>
      <c r="J5" s="1056"/>
      <c r="K5" s="1059"/>
      <c r="L5" s="1057"/>
      <c r="M5" s="1055" t="s">
        <v>476</v>
      </c>
      <c r="N5" s="1056"/>
      <c r="O5" s="1056"/>
      <c r="P5" s="1059"/>
      <c r="Q5" s="1060" t="s">
        <v>164</v>
      </c>
      <c r="R5" s="1056"/>
      <c r="S5" s="1059"/>
      <c r="T5" s="1059"/>
      <c r="U5" s="1061"/>
    </row>
    <row r="6" spans="1:24" ht="25.5" x14ac:dyDescent="0.2">
      <c r="B6" s="845"/>
      <c r="C6" s="893"/>
      <c r="D6" s="846"/>
      <c r="E6" s="894" t="s">
        <v>477</v>
      </c>
      <c r="F6" s="895" t="s">
        <v>478</v>
      </c>
      <c r="G6" s="896" t="s">
        <v>824</v>
      </c>
      <c r="H6" s="847" t="s">
        <v>479</v>
      </c>
      <c r="I6" s="848" t="s">
        <v>477</v>
      </c>
      <c r="J6" s="895" t="s">
        <v>478</v>
      </c>
      <c r="K6" s="897" t="s">
        <v>825</v>
      </c>
      <c r="L6" s="847" t="s">
        <v>479</v>
      </c>
      <c r="M6" s="894" t="s">
        <v>477</v>
      </c>
      <c r="N6" s="895" t="s">
        <v>478</v>
      </c>
      <c r="O6" s="898" t="s">
        <v>826</v>
      </c>
      <c r="P6" s="899" t="s">
        <v>479</v>
      </c>
      <c r="Q6" s="849" t="s">
        <v>477</v>
      </c>
      <c r="R6" s="895" t="s">
        <v>638</v>
      </c>
      <c r="S6" s="900" t="s">
        <v>827</v>
      </c>
      <c r="T6" s="899" t="s">
        <v>480</v>
      </c>
      <c r="U6" s="901" t="s">
        <v>479</v>
      </c>
    </row>
    <row r="7" spans="1:24" ht="15.75" thickBot="1" x14ac:dyDescent="0.3">
      <c r="A7">
        <v>11191</v>
      </c>
      <c r="B7" s="902" t="s">
        <v>481</v>
      </c>
      <c r="C7" s="903"/>
      <c r="D7" s="904"/>
      <c r="E7" s="905">
        <v>157000</v>
      </c>
      <c r="F7" s="906">
        <v>157000</v>
      </c>
      <c r="G7" s="907"/>
      <c r="H7" s="908">
        <v>0</v>
      </c>
      <c r="I7" s="909">
        <v>0</v>
      </c>
      <c r="J7" s="906">
        <v>0</v>
      </c>
      <c r="K7" s="910"/>
      <c r="L7" s="908">
        <v>0</v>
      </c>
      <c r="M7" s="911">
        <v>0</v>
      </c>
      <c r="N7" s="906">
        <v>0</v>
      </c>
      <c r="O7" s="907">
        <v>0</v>
      </c>
      <c r="P7" s="912">
        <v>0</v>
      </c>
      <c r="Q7" s="913">
        <f>E7+I7+M7</f>
        <v>157000</v>
      </c>
      <c r="R7" s="906">
        <f>F7+J7+O7</f>
        <v>157000</v>
      </c>
      <c r="S7" s="910">
        <f>G7+K7+O7</f>
        <v>0</v>
      </c>
      <c r="T7" s="912">
        <f>R7+S7</f>
        <v>157000</v>
      </c>
      <c r="U7" s="914">
        <f>H7+L7+P7</f>
        <v>0</v>
      </c>
    </row>
    <row r="8" spans="1:24" ht="15.75" thickBot="1" x14ac:dyDescent="0.3">
      <c r="B8" s="737" t="s">
        <v>482</v>
      </c>
      <c r="C8" s="737"/>
      <c r="D8" s="738"/>
      <c r="E8" s="225">
        <v>157000</v>
      </c>
      <c r="F8" s="226">
        <v>157000</v>
      </c>
      <c r="G8" s="227"/>
      <c r="H8" s="228">
        <v>0</v>
      </c>
      <c r="I8" s="229">
        <v>0</v>
      </c>
      <c r="J8" s="226">
        <v>0</v>
      </c>
      <c r="K8" s="338"/>
      <c r="L8" s="228">
        <v>0</v>
      </c>
      <c r="M8" s="225">
        <v>0</v>
      </c>
      <c r="N8" s="226">
        <v>0</v>
      </c>
      <c r="O8" s="227">
        <v>0</v>
      </c>
      <c r="P8" s="739">
        <v>0</v>
      </c>
      <c r="Q8" s="818">
        <f>E8+I8+M8</f>
        <v>157000</v>
      </c>
      <c r="R8" s="226">
        <f>F8+J8+O8</f>
        <v>157000</v>
      </c>
      <c r="S8" s="910">
        <f>G8+K8+O8</f>
        <v>0</v>
      </c>
      <c r="T8" s="818">
        <f t="shared" ref="T8:T20" si="0">R8+S8</f>
        <v>157000</v>
      </c>
      <c r="U8" s="818">
        <f>H8+L8+P8</f>
        <v>0</v>
      </c>
    </row>
    <row r="9" spans="1:24" ht="30" customHeight="1" x14ac:dyDescent="0.25">
      <c r="A9">
        <v>121833</v>
      </c>
      <c r="B9" s="1062" t="s">
        <v>483</v>
      </c>
      <c r="C9" s="1063"/>
      <c r="D9" s="1064"/>
      <c r="E9" s="230">
        <v>0</v>
      </c>
      <c r="F9" s="231">
        <v>0</v>
      </c>
      <c r="G9" s="232"/>
      <c r="H9" s="233">
        <v>0</v>
      </c>
      <c r="I9" s="249">
        <f>578601407+26271613</f>
        <v>604873020</v>
      </c>
      <c r="J9" s="231">
        <f>2916785+2916785+2916785+132438+132438+132438+12258183+12097264+12097460+12097462+12097462+12097462</f>
        <v>81892962</v>
      </c>
      <c r="K9" s="339">
        <f>3007838+3007838+3040892+3040892</f>
        <v>12097460</v>
      </c>
      <c r="L9" s="233">
        <f>I9-J9-K9</f>
        <v>510882598</v>
      </c>
      <c r="M9" s="230"/>
      <c r="N9" s="231"/>
      <c r="O9" s="232"/>
      <c r="P9" s="740"/>
      <c r="Q9" s="741">
        <f>E9+I9+M9</f>
        <v>604873020</v>
      </c>
      <c r="R9" s="231">
        <f>J9+N9</f>
        <v>81892962</v>
      </c>
      <c r="S9" s="910">
        <f t="shared" ref="S9:S26" si="1">G9+K9+O9</f>
        <v>12097460</v>
      </c>
      <c r="T9" s="912">
        <f>G9+K9+O9+R9</f>
        <v>93990422</v>
      </c>
      <c r="U9" s="742">
        <f>H9+L9+P9</f>
        <v>510882598</v>
      </c>
    </row>
    <row r="10" spans="1:24" ht="31.5" customHeight="1" thickBot="1" x14ac:dyDescent="0.3">
      <c r="A10">
        <v>121849</v>
      </c>
      <c r="B10" s="1065" t="s">
        <v>484</v>
      </c>
      <c r="C10" s="1066"/>
      <c r="D10" s="1067"/>
      <c r="E10" s="911">
        <v>0</v>
      </c>
      <c r="F10" s="906">
        <v>0</v>
      </c>
      <c r="G10" s="907"/>
      <c r="H10" s="908">
        <v>0</v>
      </c>
      <c r="I10" s="909">
        <f>934714268+37681960</f>
        <v>972396228</v>
      </c>
      <c r="J10" s="906">
        <f>4507874+4507874+4507874+204110+204110+204110+18942682+18694227+19176119+19824746+19824746+19824746</f>
        <v>130423218</v>
      </c>
      <c r="K10" s="910">
        <f>4929103+4929103+4983268+4983268</f>
        <v>19824742</v>
      </c>
      <c r="L10" s="850">
        <f>I10-J10-K10</f>
        <v>822148268</v>
      </c>
      <c r="M10" s="911">
        <v>938596550</v>
      </c>
      <c r="N10" s="906">
        <f>17229032+18771931+18771929+18771938+18771930+18771928+18771928+18771928</f>
        <v>148632544</v>
      </c>
      <c r="O10" s="907">
        <f>4667338+4667338+4718627+4718627</f>
        <v>18771930</v>
      </c>
      <c r="P10" s="915">
        <f>M10-(N10+O10)</f>
        <v>771192076</v>
      </c>
      <c r="Q10" s="913">
        <f>E10+I10+M10</f>
        <v>1910992778</v>
      </c>
      <c r="R10" s="906">
        <f>J10+N10</f>
        <v>279055762</v>
      </c>
      <c r="S10" s="910">
        <f t="shared" si="1"/>
        <v>38596672</v>
      </c>
      <c r="T10" s="912">
        <f>R10+S10</f>
        <v>317652434</v>
      </c>
      <c r="U10" s="914">
        <f>H10+L10+P10</f>
        <v>1593340344</v>
      </c>
    </row>
    <row r="11" spans="1:24" ht="15.75" thickBot="1" x14ac:dyDescent="0.3">
      <c r="B11" s="1068" t="s">
        <v>485</v>
      </c>
      <c r="C11" s="1068"/>
      <c r="D11" s="1069"/>
      <c r="E11" s="225">
        <f>E9+E10</f>
        <v>0</v>
      </c>
      <c r="F11" s="226">
        <f t="shared" ref="F11:U11" si="2">F9+F10</f>
        <v>0</v>
      </c>
      <c r="G11" s="227"/>
      <c r="H11" s="228">
        <f t="shared" si="2"/>
        <v>0</v>
      </c>
      <c r="I11" s="229">
        <f t="shared" si="2"/>
        <v>1577269248</v>
      </c>
      <c r="J11" s="226">
        <f t="shared" si="2"/>
        <v>212316180</v>
      </c>
      <c r="K11" s="226">
        <f t="shared" si="2"/>
        <v>31922202</v>
      </c>
      <c r="L11" s="228">
        <f t="shared" si="2"/>
        <v>1333030866</v>
      </c>
      <c r="M11" s="225">
        <f t="shared" si="2"/>
        <v>938596550</v>
      </c>
      <c r="N11" s="226">
        <f t="shared" si="2"/>
        <v>148632544</v>
      </c>
      <c r="O11" s="227">
        <f t="shared" si="2"/>
        <v>18771930</v>
      </c>
      <c r="P11" s="739">
        <f t="shared" si="2"/>
        <v>771192076</v>
      </c>
      <c r="Q11" s="818">
        <f t="shared" si="2"/>
        <v>2515865798</v>
      </c>
      <c r="R11" s="226">
        <f t="shared" si="2"/>
        <v>360948724</v>
      </c>
      <c r="S11" s="910">
        <f t="shared" si="1"/>
        <v>50694132</v>
      </c>
      <c r="T11" s="818">
        <f>T9+T10</f>
        <v>411642856</v>
      </c>
      <c r="U11" s="818">
        <f t="shared" si="2"/>
        <v>2104222942</v>
      </c>
    </row>
    <row r="12" spans="1:24" ht="48.75" customHeight="1" x14ac:dyDescent="0.25">
      <c r="A12" s="140" t="s">
        <v>761</v>
      </c>
      <c r="B12" s="1062" t="s">
        <v>762</v>
      </c>
      <c r="C12" s="1070"/>
      <c r="D12" s="1071"/>
      <c r="E12" s="230">
        <f>238100+133500+145125+180500+34488+16900-145125+77433+410500</f>
        <v>1091421</v>
      </c>
      <c r="F12" s="231">
        <f>731713-145125+37789+160306</f>
        <v>784683</v>
      </c>
      <c r="G12" s="232">
        <v>410500</v>
      </c>
      <c r="H12" s="233">
        <f>E12-(F12+G12)</f>
        <v>-103762</v>
      </c>
      <c r="I12" s="743"/>
      <c r="J12" s="744"/>
      <c r="K12" s="745"/>
      <c r="L12" s="233"/>
      <c r="M12" s="230"/>
      <c r="N12" s="231"/>
      <c r="O12" s="232"/>
      <c r="P12" s="740"/>
      <c r="Q12" s="741">
        <f t="shared" ref="Q12:Q20" si="3">E12+I12+M12</f>
        <v>1091421</v>
      </c>
      <c r="R12" s="231">
        <f>F12+J12+O12</f>
        <v>784683</v>
      </c>
      <c r="S12" s="910">
        <f t="shared" si="1"/>
        <v>410500</v>
      </c>
      <c r="T12" s="912">
        <f t="shared" si="0"/>
        <v>1195183</v>
      </c>
      <c r="U12" s="235">
        <f t="shared" ref="U12:U20" si="4">H12+L12+P12</f>
        <v>-103762</v>
      </c>
    </row>
    <row r="13" spans="1:24" ht="37.5" customHeight="1" x14ac:dyDescent="0.25">
      <c r="A13">
        <v>13111</v>
      </c>
      <c r="B13" s="1062" t="s">
        <v>730</v>
      </c>
      <c r="C13" s="1070"/>
      <c r="D13" s="1071"/>
      <c r="E13" s="920">
        <f>251130+586120+274800</f>
        <v>1112050</v>
      </c>
      <c r="F13" s="35">
        <f>23835+82872+147703+268202</f>
        <v>522612</v>
      </c>
      <c r="G13" s="232">
        <f>70637+70637+71414+71414</f>
        <v>284102</v>
      </c>
      <c r="H13" s="233">
        <f>E13-(F13+G13)</f>
        <v>305336</v>
      </c>
      <c r="I13" s="234"/>
      <c r="J13" s="231"/>
      <c r="K13" s="339"/>
      <c r="L13" s="233"/>
      <c r="M13" s="230"/>
      <c r="N13" s="231"/>
      <c r="O13" s="232"/>
      <c r="P13" s="740"/>
      <c r="Q13" s="787">
        <f t="shared" si="3"/>
        <v>1112050</v>
      </c>
      <c r="R13" s="231">
        <f>F13</f>
        <v>522612</v>
      </c>
      <c r="S13" s="910">
        <f t="shared" si="1"/>
        <v>284102</v>
      </c>
      <c r="T13" s="912">
        <f t="shared" si="0"/>
        <v>806714</v>
      </c>
      <c r="U13" s="742">
        <f t="shared" si="4"/>
        <v>305336</v>
      </c>
    </row>
    <row r="14" spans="1:24" ht="50.25" customHeight="1" x14ac:dyDescent="0.25">
      <c r="A14">
        <v>131981</v>
      </c>
      <c r="B14" s="1048" t="s">
        <v>731</v>
      </c>
      <c r="C14" s="1049"/>
      <c r="D14" s="1050"/>
      <c r="E14" s="894"/>
      <c r="F14" s="895"/>
      <c r="G14" s="898"/>
      <c r="H14" s="233">
        <f t="shared" ref="H14:H18" si="5">E14-(F14+G14)</f>
        <v>0</v>
      </c>
      <c r="I14" s="848">
        <f>7479743-2605268</f>
        <v>4874475</v>
      </c>
      <c r="J14" s="895">
        <f>6835265+644478-2605268</f>
        <v>4874475</v>
      </c>
      <c r="K14" s="916"/>
      <c r="L14" s="847">
        <f>I14-J14-K14</f>
        <v>0</v>
      </c>
      <c r="M14" s="894"/>
      <c r="N14" s="895"/>
      <c r="O14" s="898"/>
      <c r="P14" s="899"/>
      <c r="Q14" s="849">
        <f t="shared" si="3"/>
        <v>4874475</v>
      </c>
      <c r="R14" s="895">
        <f>J14+N14</f>
        <v>4874475</v>
      </c>
      <c r="S14" s="910">
        <f t="shared" si="1"/>
        <v>0</v>
      </c>
      <c r="T14" s="912">
        <f t="shared" si="0"/>
        <v>4874475</v>
      </c>
      <c r="U14" s="901">
        <f t="shared" si="4"/>
        <v>0</v>
      </c>
    </row>
    <row r="15" spans="1:24" ht="64.5" customHeight="1" x14ac:dyDescent="0.2">
      <c r="A15">
        <v>131812</v>
      </c>
      <c r="B15" s="1048" t="s">
        <v>732</v>
      </c>
      <c r="C15" s="1049"/>
      <c r="D15" s="1050"/>
      <c r="E15" s="894"/>
      <c r="F15" s="895"/>
      <c r="G15" s="898"/>
      <c r="H15" s="233">
        <f t="shared" si="5"/>
        <v>0</v>
      </c>
      <c r="I15" s="848">
        <v>618438</v>
      </c>
      <c r="J15" s="895">
        <v>618438</v>
      </c>
      <c r="K15" s="900"/>
      <c r="L15" s="847">
        <f>I15-J15-K15</f>
        <v>0</v>
      </c>
      <c r="M15" s="894"/>
      <c r="N15" s="895"/>
      <c r="O15" s="898"/>
      <c r="P15" s="899"/>
      <c r="Q15" s="849">
        <f t="shared" si="3"/>
        <v>618438</v>
      </c>
      <c r="R15" s="895">
        <f>J15+N15</f>
        <v>618438</v>
      </c>
      <c r="S15" s="910">
        <f t="shared" si="1"/>
        <v>0</v>
      </c>
      <c r="T15" s="912">
        <f t="shared" si="0"/>
        <v>618438</v>
      </c>
      <c r="U15" s="901">
        <f t="shared" si="4"/>
        <v>0</v>
      </c>
    </row>
    <row r="16" spans="1:24" ht="35.25" customHeight="1" x14ac:dyDescent="0.25">
      <c r="A16" s="140" t="s">
        <v>774</v>
      </c>
      <c r="B16" s="1048" t="s">
        <v>775</v>
      </c>
      <c r="C16" s="1049"/>
      <c r="D16" s="1050"/>
      <c r="E16" s="894">
        <v>210684</v>
      </c>
      <c r="F16" s="895">
        <f>22012+30549</f>
        <v>52561</v>
      </c>
      <c r="G16" s="898">
        <f>7596+7596+7679+7679</f>
        <v>30550</v>
      </c>
      <c r="H16" s="233">
        <f t="shared" si="5"/>
        <v>127573</v>
      </c>
      <c r="I16" s="851">
        <f>129921466+210154118+117740000+5872478+9581412+5357349</f>
        <v>478626823</v>
      </c>
      <c r="J16" s="895">
        <f>4748363+4303155+214627+483008+195800+4748363+4303155+214627+483008+195800+4748363+4303155+214627+483008+195800+10594071+10594071+10594071+70849857+69513766+69400892+69400893+69359966+63720772</f>
        <v>473863218</v>
      </c>
      <c r="K16" s="900">
        <v>4763605</v>
      </c>
      <c r="L16" s="847">
        <f>I16-J16-K16</f>
        <v>0</v>
      </c>
      <c r="M16" s="894"/>
      <c r="N16" s="895"/>
      <c r="O16" s="898"/>
      <c r="P16" s="899"/>
      <c r="Q16" s="849">
        <f t="shared" si="3"/>
        <v>478837507</v>
      </c>
      <c r="R16" s="895">
        <f>J16+N16+F16</f>
        <v>473915779</v>
      </c>
      <c r="S16" s="910">
        <f>G16+K16+O16</f>
        <v>4794155</v>
      </c>
      <c r="T16" s="912">
        <f t="shared" si="0"/>
        <v>478709934</v>
      </c>
      <c r="U16" s="901">
        <f t="shared" si="4"/>
        <v>127573</v>
      </c>
      <c r="X16" s="35"/>
    </row>
    <row r="17" spans="1:24" ht="47.25" customHeight="1" x14ac:dyDescent="0.25">
      <c r="A17">
        <v>131992</v>
      </c>
      <c r="B17" s="1074" t="s">
        <v>763</v>
      </c>
      <c r="C17" s="1075"/>
      <c r="D17" s="1076"/>
      <c r="E17" s="894"/>
      <c r="F17" s="895"/>
      <c r="G17" s="898"/>
      <c r="H17" s="233">
        <f t="shared" si="5"/>
        <v>0</v>
      </c>
      <c r="I17" s="851"/>
      <c r="J17" s="895"/>
      <c r="K17" s="900"/>
      <c r="L17" s="847"/>
      <c r="M17" s="894"/>
      <c r="N17" s="895"/>
      <c r="O17" s="898"/>
      <c r="P17" s="899"/>
      <c r="Q17" s="849">
        <f t="shared" si="3"/>
        <v>0</v>
      </c>
      <c r="R17" s="895">
        <f>J17+N17+F17</f>
        <v>0</v>
      </c>
      <c r="S17" s="910">
        <f t="shared" si="1"/>
        <v>0</v>
      </c>
      <c r="T17" s="912">
        <f t="shared" si="0"/>
        <v>0</v>
      </c>
      <c r="U17" s="901">
        <f t="shared" si="4"/>
        <v>0</v>
      </c>
      <c r="X17" s="35"/>
    </row>
    <row r="18" spans="1:24" ht="35.25" customHeight="1" x14ac:dyDescent="0.25">
      <c r="A18">
        <v>131192</v>
      </c>
      <c r="B18" s="1077" t="s">
        <v>733</v>
      </c>
      <c r="C18" s="1078"/>
      <c r="D18" s="1079"/>
      <c r="E18" s="917">
        <f>12180+11016+37008+66900-34488</f>
        <v>92616</v>
      </c>
      <c r="F18" s="895">
        <f>12180+103908-34488+11016</f>
        <v>92616</v>
      </c>
      <c r="G18" s="898"/>
      <c r="H18" s="233">
        <f t="shared" si="5"/>
        <v>0</v>
      </c>
      <c r="I18" s="851"/>
      <c r="J18" s="895"/>
      <c r="K18" s="900"/>
      <c r="L18" s="847"/>
      <c r="M18" s="894"/>
      <c r="N18" s="895"/>
      <c r="O18" s="898"/>
      <c r="P18" s="899"/>
      <c r="Q18" s="849">
        <f>E18+I18+M18</f>
        <v>92616</v>
      </c>
      <c r="R18" s="895">
        <f>J18+N18+F18</f>
        <v>92616</v>
      </c>
      <c r="S18" s="910"/>
      <c r="T18" s="912">
        <f t="shared" si="0"/>
        <v>92616</v>
      </c>
      <c r="U18" s="901">
        <f t="shared" si="4"/>
        <v>0</v>
      </c>
      <c r="X18" s="35"/>
    </row>
    <row r="19" spans="1:24" ht="46.5" customHeight="1" x14ac:dyDescent="0.25">
      <c r="A19">
        <v>131822</v>
      </c>
      <c r="B19" s="1048" t="s">
        <v>734</v>
      </c>
      <c r="C19" s="1049"/>
      <c r="D19" s="1050"/>
      <c r="E19" s="894"/>
      <c r="F19" s="895"/>
      <c r="G19" s="898"/>
      <c r="H19" s="847"/>
      <c r="I19" s="848">
        <f>65429205-1954766</f>
        <v>63474439</v>
      </c>
      <c r="J19" s="895">
        <f>65429205-1954766</f>
        <v>63474439</v>
      </c>
      <c r="K19" s="916"/>
      <c r="L19" s="847">
        <f>I19-J19-K19</f>
        <v>0</v>
      </c>
      <c r="M19" s="894"/>
      <c r="N19" s="895"/>
      <c r="O19" s="898"/>
      <c r="P19" s="899"/>
      <c r="Q19" s="849">
        <f t="shared" si="3"/>
        <v>63474439</v>
      </c>
      <c r="R19" s="895">
        <f>J19+N19</f>
        <v>63474439</v>
      </c>
      <c r="S19" s="910">
        <f t="shared" si="1"/>
        <v>0</v>
      </c>
      <c r="T19" s="912">
        <f t="shared" si="0"/>
        <v>63474439</v>
      </c>
      <c r="U19" s="901">
        <f t="shared" si="4"/>
        <v>0</v>
      </c>
    </row>
    <row r="20" spans="1:24" ht="36.75" customHeight="1" thickBot="1" x14ac:dyDescent="0.25">
      <c r="A20">
        <v>13186</v>
      </c>
      <c r="B20" s="1065" t="s">
        <v>486</v>
      </c>
      <c r="C20" s="1080"/>
      <c r="D20" s="1081"/>
      <c r="E20" s="911"/>
      <c r="F20" s="911"/>
      <c r="G20" s="918"/>
      <c r="H20" s="911"/>
      <c r="I20" s="909">
        <f>332828000+15144813</f>
        <v>347972813</v>
      </c>
      <c r="J20" s="906">
        <f>16778179+16778179+16778179+763464+763464+763464+70519083+69594817+69594564+69594563+16044857</f>
        <v>347972813</v>
      </c>
      <c r="K20" s="910"/>
      <c r="L20" s="908">
        <f>I20-J20-K20</f>
        <v>0</v>
      </c>
      <c r="M20" s="911"/>
      <c r="N20" s="906"/>
      <c r="O20" s="907"/>
      <c r="P20" s="912"/>
      <c r="Q20" s="913">
        <f t="shared" si="3"/>
        <v>347972813</v>
      </c>
      <c r="R20" s="895">
        <f>J20+N20</f>
        <v>347972813</v>
      </c>
      <c r="S20" s="910">
        <f t="shared" si="1"/>
        <v>0</v>
      </c>
      <c r="T20" s="912">
        <f t="shared" si="0"/>
        <v>347972813</v>
      </c>
      <c r="U20" s="914">
        <f t="shared" si="4"/>
        <v>0</v>
      </c>
    </row>
    <row r="21" spans="1:24" ht="47.25" customHeight="1" thickBot="1" x14ac:dyDescent="0.3">
      <c r="B21" s="1072" t="s">
        <v>487</v>
      </c>
      <c r="C21" s="1072"/>
      <c r="D21" s="1073"/>
      <c r="E21" s="341">
        <f>E12+E13+E14+E15+E16+E17+E18+E19+E20</f>
        <v>2506771</v>
      </c>
      <c r="F21" s="342">
        <f>F12+F13+F14+F15+F16+F19+F20</f>
        <v>1359856</v>
      </c>
      <c r="G21" s="343">
        <f>G12+G13+G14+G15+G16+G17+G18+G19+G20</f>
        <v>725152</v>
      </c>
      <c r="H21" s="344">
        <f>H12+H13+H14+H15+H16+H19+H20</f>
        <v>329147</v>
      </c>
      <c r="I21" s="345">
        <f t="shared" ref="I21:P21" si="6">I12+I13+I14+I15+I16+I19+I20</f>
        <v>895566988</v>
      </c>
      <c r="J21" s="342">
        <f t="shared" si="6"/>
        <v>890803383</v>
      </c>
      <c r="K21" s="343">
        <f>K14+K16+K20</f>
        <v>4763605</v>
      </c>
      <c r="L21" s="344">
        <f t="shared" si="6"/>
        <v>0</v>
      </c>
      <c r="M21" s="341">
        <f t="shared" si="6"/>
        <v>0</v>
      </c>
      <c r="N21" s="342">
        <f t="shared" si="6"/>
        <v>0</v>
      </c>
      <c r="O21" s="821">
        <f t="shared" si="6"/>
        <v>0</v>
      </c>
      <c r="P21" s="746">
        <f t="shared" si="6"/>
        <v>0</v>
      </c>
      <c r="Q21" s="819">
        <f>Q12+Q13+Q14+Q15+Q16+Q17+Q18+Q19+Q20</f>
        <v>898073759</v>
      </c>
      <c r="R21" s="342">
        <f>SUM(R12:R20)</f>
        <v>892255855</v>
      </c>
      <c r="S21" s="910">
        <f>SUM(S12:S20)</f>
        <v>5488757</v>
      </c>
      <c r="T21" s="819">
        <f>SUM(T12:T20)</f>
        <v>897744612</v>
      </c>
      <c r="U21" s="819">
        <f>U12+U13+U14+U15+U16+U17+U18+U19+U20</f>
        <v>329147</v>
      </c>
    </row>
    <row r="22" spans="1:24" ht="15.75" x14ac:dyDescent="0.25">
      <c r="B22" s="852" t="s">
        <v>488</v>
      </c>
      <c r="C22" s="853"/>
      <c r="D22" s="854"/>
      <c r="E22" s="855">
        <f>E8+E11+E21</f>
        <v>2663771</v>
      </c>
      <c r="F22" s="856">
        <f t="shared" ref="F22:U22" si="7">F8+F11+F21</f>
        <v>1516856</v>
      </c>
      <c r="G22" s="857">
        <f t="shared" si="7"/>
        <v>725152</v>
      </c>
      <c r="H22" s="856">
        <f t="shared" si="7"/>
        <v>329147</v>
      </c>
      <c r="I22" s="856">
        <f t="shared" si="7"/>
        <v>2472836236</v>
      </c>
      <c r="J22" s="856">
        <f t="shared" si="7"/>
        <v>1103119563</v>
      </c>
      <c r="K22" s="857">
        <f t="shared" si="7"/>
        <v>36685807</v>
      </c>
      <c r="L22" s="856">
        <f t="shared" si="7"/>
        <v>1333030866</v>
      </c>
      <c r="M22" s="856">
        <f t="shared" si="7"/>
        <v>938596550</v>
      </c>
      <c r="N22" s="856">
        <f t="shared" si="7"/>
        <v>148632544</v>
      </c>
      <c r="O22" s="343">
        <f t="shared" si="7"/>
        <v>18771930</v>
      </c>
      <c r="P22" s="858">
        <f t="shared" si="7"/>
        <v>771192076</v>
      </c>
      <c r="Q22" s="859">
        <f t="shared" si="7"/>
        <v>3414096557</v>
      </c>
      <c r="R22" s="856">
        <f t="shared" si="7"/>
        <v>1253361579</v>
      </c>
      <c r="S22" s="910">
        <f t="shared" si="1"/>
        <v>56182889</v>
      </c>
      <c r="T22" s="859">
        <f>T8+T11+T21</f>
        <v>1309544468</v>
      </c>
      <c r="U22" s="856">
        <f t="shared" si="7"/>
        <v>2104552089</v>
      </c>
    </row>
    <row r="23" spans="1:24" x14ac:dyDescent="0.2">
      <c r="B23" s="261"/>
      <c r="D23" s="346"/>
      <c r="E23" s="262"/>
      <c r="F23" s="195"/>
      <c r="G23" s="347"/>
      <c r="H23" s="195"/>
      <c r="I23" s="195"/>
      <c r="J23" s="195"/>
      <c r="K23" s="347"/>
      <c r="L23" s="195"/>
      <c r="M23" s="195"/>
      <c r="N23" s="195"/>
      <c r="O23" s="353"/>
      <c r="P23" s="261"/>
      <c r="Q23" s="195"/>
      <c r="R23" s="195"/>
      <c r="S23" s="919">
        <f t="shared" si="1"/>
        <v>0</v>
      </c>
      <c r="T23" s="195"/>
      <c r="U23" s="195"/>
    </row>
    <row r="24" spans="1:24" x14ac:dyDescent="0.2">
      <c r="B24" s="261" t="s">
        <v>639</v>
      </c>
      <c r="D24" s="346"/>
      <c r="E24" s="262"/>
      <c r="F24" s="195"/>
      <c r="G24" s="347"/>
      <c r="H24" s="195"/>
      <c r="I24" s="195">
        <v>115000</v>
      </c>
      <c r="J24" s="195"/>
      <c r="K24" s="347"/>
      <c r="L24" s="195"/>
      <c r="M24" s="195"/>
      <c r="N24" s="195"/>
      <c r="O24" s="353"/>
      <c r="P24" s="261"/>
      <c r="Q24" s="348">
        <v>115000</v>
      </c>
      <c r="R24" s="195"/>
      <c r="S24" s="353">
        <f t="shared" si="1"/>
        <v>0</v>
      </c>
      <c r="T24" s="195"/>
      <c r="U24" s="195">
        <v>115000</v>
      </c>
      <c r="X24" s="35"/>
    </row>
    <row r="25" spans="1:24" ht="15.75" thickBot="1" x14ac:dyDescent="0.3">
      <c r="B25" s="349"/>
      <c r="C25" s="236"/>
      <c r="D25" s="350"/>
      <c r="E25" s="351"/>
      <c r="F25" s="352"/>
      <c r="G25" s="347"/>
      <c r="H25" s="195"/>
      <c r="I25" s="348"/>
      <c r="J25" s="195"/>
      <c r="K25" s="353"/>
      <c r="L25" s="348"/>
      <c r="M25" s="195"/>
      <c r="N25" s="195"/>
      <c r="O25" s="353"/>
      <c r="P25" s="261"/>
      <c r="Q25" s="195"/>
      <c r="R25" s="195"/>
      <c r="S25" s="860">
        <f t="shared" si="1"/>
        <v>0</v>
      </c>
      <c r="T25" s="195"/>
      <c r="U25" s="195"/>
      <c r="X25" s="35"/>
    </row>
    <row r="26" spans="1:24" ht="15.75" thickBot="1" x14ac:dyDescent="0.3">
      <c r="B26" s="354" t="s">
        <v>640</v>
      </c>
      <c r="C26" s="355"/>
      <c r="D26" s="356"/>
      <c r="E26" s="357">
        <f>E22+E24</f>
        <v>2663771</v>
      </c>
      <c r="F26" s="358">
        <f t="shared" ref="F26:U26" si="8">F22+F24</f>
        <v>1516856</v>
      </c>
      <c r="G26" s="359">
        <f t="shared" si="8"/>
        <v>725152</v>
      </c>
      <c r="H26" s="358">
        <f t="shared" si="8"/>
        <v>329147</v>
      </c>
      <c r="I26" s="358">
        <f t="shared" si="8"/>
        <v>2472951236</v>
      </c>
      <c r="J26" s="358">
        <f t="shared" si="8"/>
        <v>1103119563</v>
      </c>
      <c r="K26" s="359">
        <f t="shared" si="8"/>
        <v>36685807</v>
      </c>
      <c r="L26" s="358">
        <f t="shared" si="8"/>
        <v>1333030866</v>
      </c>
      <c r="M26" s="358">
        <f t="shared" si="8"/>
        <v>938596550</v>
      </c>
      <c r="N26" s="358">
        <f t="shared" si="8"/>
        <v>148632544</v>
      </c>
      <c r="O26" s="227">
        <f t="shared" si="8"/>
        <v>18771930</v>
      </c>
      <c r="P26" s="747">
        <f t="shared" si="8"/>
        <v>771192076</v>
      </c>
      <c r="Q26" s="358">
        <f t="shared" si="8"/>
        <v>3414211557</v>
      </c>
      <c r="R26" s="358">
        <f t="shared" si="8"/>
        <v>1253361579</v>
      </c>
      <c r="S26" s="861">
        <f t="shared" si="1"/>
        <v>56182889</v>
      </c>
      <c r="T26" s="358">
        <f t="shared" si="8"/>
        <v>1309544468</v>
      </c>
      <c r="U26" s="820">
        <f t="shared" si="8"/>
        <v>2104667089</v>
      </c>
      <c r="X26" s="35"/>
    </row>
    <row r="27" spans="1:24" ht="15" x14ac:dyDescent="0.25">
      <c r="B27" s="236"/>
      <c r="C27" s="236"/>
      <c r="D27" s="236"/>
      <c r="E27" s="236"/>
      <c r="F27" s="236"/>
      <c r="G27"/>
      <c r="I27" s="35"/>
      <c r="J27"/>
      <c r="K27" s="35"/>
      <c r="L27" s="35"/>
      <c r="O27"/>
      <c r="S27"/>
      <c r="X27" s="35"/>
    </row>
    <row r="28" spans="1:24" ht="15" x14ac:dyDescent="0.25">
      <c r="B28" s="236"/>
      <c r="C28" s="236"/>
      <c r="D28" s="236"/>
      <c r="E28" s="236"/>
      <c r="F28" s="862"/>
      <c r="G28"/>
      <c r="I28" s="35"/>
      <c r="J28"/>
      <c r="K28"/>
      <c r="N28" s="35"/>
      <c r="O28"/>
      <c r="S28"/>
      <c r="X28" s="35"/>
    </row>
    <row r="29" spans="1:24" ht="15" x14ac:dyDescent="0.25">
      <c r="B29" s="863"/>
      <c r="C29" s="863"/>
      <c r="D29" s="863"/>
      <c r="E29" s="863"/>
      <c r="G29"/>
      <c r="I29" s="35"/>
      <c r="J29" s="35"/>
      <c r="K29"/>
      <c r="L29" s="35"/>
      <c r="O29"/>
      <c r="S29"/>
      <c r="X29" s="35"/>
    </row>
    <row r="30" spans="1:24" x14ac:dyDescent="0.2">
      <c r="F30" s="35"/>
      <c r="G30"/>
      <c r="I30" s="35"/>
      <c r="J30"/>
      <c r="K30"/>
      <c r="M30" s="35"/>
      <c r="O30"/>
      <c r="S30"/>
    </row>
    <row r="31" spans="1:24" x14ac:dyDescent="0.2">
      <c r="G31"/>
      <c r="I31" s="35"/>
      <c r="J31"/>
      <c r="K31"/>
      <c r="M31" s="35"/>
      <c r="O31"/>
      <c r="S31"/>
    </row>
    <row r="32" spans="1:24" x14ac:dyDescent="0.2">
      <c r="G32"/>
      <c r="J32"/>
      <c r="K32"/>
      <c r="M32" s="35"/>
      <c r="O32"/>
      <c r="S32"/>
    </row>
    <row r="33" spans="13:13" customFormat="1" x14ac:dyDescent="0.2">
      <c r="M33" s="35"/>
    </row>
    <row r="34" spans="13:13" customFormat="1" x14ac:dyDescent="0.2">
      <c r="M34" s="35"/>
    </row>
    <row r="35" spans="13:13" customFormat="1" x14ac:dyDescent="0.2">
      <c r="M35" s="35"/>
    </row>
    <row r="36" spans="13:13" customFormat="1" x14ac:dyDescent="0.2"/>
    <row r="37" spans="13:13" customFormat="1" x14ac:dyDescent="0.2"/>
    <row r="38" spans="13:13" customFormat="1" x14ac:dyDescent="0.2"/>
    <row r="39" spans="13:13" customFormat="1" x14ac:dyDescent="0.2"/>
    <row r="40" spans="13:13" customFormat="1" x14ac:dyDescent="0.2"/>
    <row r="41" spans="13:13" customFormat="1" x14ac:dyDescent="0.2"/>
    <row r="42" spans="13:13" customFormat="1" x14ac:dyDescent="0.2"/>
    <row r="43" spans="13:13" customFormat="1" x14ac:dyDescent="0.2"/>
    <row r="44" spans="13:13" customFormat="1" x14ac:dyDescent="0.2"/>
    <row r="45" spans="13:13" customFormat="1" x14ac:dyDescent="0.2"/>
    <row r="46" spans="13:13" customFormat="1" x14ac:dyDescent="0.2"/>
    <row r="47" spans="13:13" customFormat="1" x14ac:dyDescent="0.2"/>
    <row r="48" spans="13:13" customFormat="1" x14ac:dyDescent="0.2"/>
    <row r="49" spans="7:19" x14ac:dyDescent="0.2">
      <c r="G49"/>
      <c r="J49"/>
      <c r="K49"/>
      <c r="O49"/>
      <c r="S49"/>
    </row>
    <row r="50" spans="7:19" x14ac:dyDescent="0.2">
      <c r="G50"/>
      <c r="J50"/>
      <c r="K50"/>
      <c r="O50"/>
      <c r="S50"/>
    </row>
    <row r="51" spans="7:19" x14ac:dyDescent="0.2">
      <c r="G51"/>
      <c r="J51"/>
      <c r="K51"/>
      <c r="O51"/>
      <c r="S51"/>
    </row>
    <row r="52" spans="7:19" x14ac:dyDescent="0.2">
      <c r="G52"/>
      <c r="J52"/>
      <c r="K52"/>
      <c r="O52"/>
      <c r="S52"/>
    </row>
    <row r="53" spans="7:19" x14ac:dyDescent="0.2">
      <c r="G53"/>
      <c r="J53"/>
      <c r="K53"/>
      <c r="O53"/>
      <c r="S53"/>
    </row>
    <row r="54" spans="7:19" x14ac:dyDescent="0.2">
      <c r="G54"/>
      <c r="J54"/>
      <c r="K54"/>
      <c r="O54"/>
      <c r="S54"/>
    </row>
    <row r="55" spans="7:19" x14ac:dyDescent="0.2">
      <c r="J55"/>
      <c r="K55"/>
      <c r="O55"/>
      <c r="S55"/>
    </row>
    <row r="56" spans="7:19" x14ac:dyDescent="0.2">
      <c r="J56"/>
      <c r="K56"/>
      <c r="O56"/>
      <c r="S56"/>
    </row>
    <row r="57" spans="7:19" x14ac:dyDescent="0.2">
      <c r="J57"/>
      <c r="K57"/>
      <c r="O57"/>
      <c r="S57"/>
    </row>
    <row r="58" spans="7:19" x14ac:dyDescent="0.2">
      <c r="J58"/>
      <c r="K58"/>
      <c r="O58"/>
      <c r="S58"/>
    </row>
    <row r="59" spans="7:19" x14ac:dyDescent="0.2">
      <c r="J59"/>
      <c r="K59"/>
      <c r="O59"/>
      <c r="S59"/>
    </row>
    <row r="60" spans="7:19" x14ac:dyDescent="0.2">
      <c r="J60"/>
      <c r="K60"/>
      <c r="O60"/>
      <c r="S60"/>
    </row>
    <row r="61" spans="7:19" x14ac:dyDescent="0.2">
      <c r="J61"/>
      <c r="K61"/>
      <c r="O61"/>
      <c r="S61"/>
    </row>
    <row r="62" spans="7:19" x14ac:dyDescent="0.2">
      <c r="J62"/>
      <c r="K62"/>
      <c r="O62"/>
      <c r="S62"/>
    </row>
    <row r="63" spans="7:19" x14ac:dyDescent="0.2">
      <c r="J63"/>
      <c r="K63"/>
      <c r="O63"/>
      <c r="S63"/>
    </row>
    <row r="64" spans="7:19" x14ac:dyDescent="0.2">
      <c r="J64"/>
      <c r="K64"/>
      <c r="O64"/>
      <c r="S64"/>
    </row>
    <row r="65" spans="10:19" x14ac:dyDescent="0.2">
      <c r="J65"/>
      <c r="K65"/>
      <c r="O65"/>
      <c r="S65"/>
    </row>
    <row r="66" spans="10:19" x14ac:dyDescent="0.2">
      <c r="J66"/>
      <c r="K66"/>
      <c r="O66"/>
      <c r="S66"/>
    </row>
    <row r="67" spans="10:19" x14ac:dyDescent="0.2">
      <c r="J67"/>
      <c r="K67"/>
      <c r="O67"/>
      <c r="S67"/>
    </row>
    <row r="68" spans="10:19" x14ac:dyDescent="0.2">
      <c r="J68"/>
      <c r="K68"/>
      <c r="O68"/>
      <c r="S68"/>
    </row>
    <row r="69" spans="10:19" x14ac:dyDescent="0.2">
      <c r="J69"/>
      <c r="K69"/>
      <c r="O69"/>
      <c r="S69"/>
    </row>
    <row r="70" spans="10:19" x14ac:dyDescent="0.2">
      <c r="J70"/>
      <c r="K70"/>
      <c r="O70"/>
      <c r="S70"/>
    </row>
    <row r="71" spans="10:19" x14ac:dyDescent="0.2">
      <c r="J71"/>
      <c r="K71"/>
      <c r="O71"/>
      <c r="S71"/>
    </row>
    <row r="72" spans="10:19" x14ac:dyDescent="0.2">
      <c r="J72"/>
      <c r="K72"/>
      <c r="O72"/>
      <c r="S72"/>
    </row>
    <row r="73" spans="10:19" x14ac:dyDescent="0.2">
      <c r="J73"/>
      <c r="K73"/>
      <c r="O73"/>
      <c r="S73"/>
    </row>
    <row r="74" spans="10:19" x14ac:dyDescent="0.2">
      <c r="J74"/>
      <c r="K74"/>
      <c r="O74"/>
      <c r="S74"/>
    </row>
    <row r="75" spans="10:19" x14ac:dyDescent="0.2">
      <c r="J75"/>
      <c r="K75"/>
      <c r="O75"/>
      <c r="S75"/>
    </row>
    <row r="76" spans="10:19" x14ac:dyDescent="0.2">
      <c r="J76"/>
      <c r="K76"/>
      <c r="O76"/>
      <c r="S76"/>
    </row>
    <row r="77" spans="10:19" x14ac:dyDescent="0.2">
      <c r="J77"/>
      <c r="K77"/>
      <c r="O77"/>
      <c r="S77"/>
    </row>
    <row r="78" spans="10:19" x14ac:dyDescent="0.2">
      <c r="J78"/>
      <c r="K78"/>
      <c r="O78"/>
      <c r="S78"/>
    </row>
    <row r="79" spans="10:19" x14ac:dyDescent="0.2">
      <c r="J79"/>
      <c r="K79"/>
      <c r="O79"/>
      <c r="S79"/>
    </row>
    <row r="80" spans="10:19" x14ac:dyDescent="0.2">
      <c r="J80"/>
      <c r="K80"/>
      <c r="O80"/>
      <c r="S80"/>
    </row>
    <row r="81" spans="10:19" x14ac:dyDescent="0.2">
      <c r="J81"/>
      <c r="K81"/>
      <c r="O81"/>
      <c r="S81"/>
    </row>
    <row r="82" spans="10:19" x14ac:dyDescent="0.2">
      <c r="J82"/>
      <c r="K82"/>
      <c r="O82"/>
      <c r="S82"/>
    </row>
    <row r="83" spans="10:19" x14ac:dyDescent="0.2">
      <c r="J83"/>
      <c r="K83"/>
      <c r="O83"/>
      <c r="S83"/>
    </row>
    <row r="84" spans="10:19" x14ac:dyDescent="0.2">
      <c r="J84"/>
      <c r="K84"/>
      <c r="O84"/>
      <c r="S84"/>
    </row>
    <row r="85" spans="10:19" x14ac:dyDescent="0.2">
      <c r="J85"/>
      <c r="K85"/>
      <c r="O85"/>
      <c r="S85"/>
    </row>
    <row r="86" spans="10:19" x14ac:dyDescent="0.2">
      <c r="J86"/>
      <c r="K86"/>
      <c r="S86"/>
    </row>
    <row r="87" spans="10:19" x14ac:dyDescent="0.2">
      <c r="J87"/>
      <c r="K87"/>
      <c r="S87"/>
    </row>
    <row r="88" spans="10:19" x14ac:dyDescent="0.2">
      <c r="S88"/>
    </row>
    <row r="89" spans="10:19" x14ac:dyDescent="0.2">
      <c r="S89"/>
    </row>
  </sheetData>
  <mergeCells count="19">
    <mergeCell ref="B21:D21"/>
    <mergeCell ref="B15:D15"/>
    <mergeCell ref="B16:D16"/>
    <mergeCell ref="B17:D17"/>
    <mergeCell ref="B18:D18"/>
    <mergeCell ref="B19:D19"/>
    <mergeCell ref="B20:D20"/>
    <mergeCell ref="B14:D14"/>
    <mergeCell ref="B2:U2"/>
    <mergeCell ref="B4:U4"/>
    <mergeCell ref="E5:H5"/>
    <mergeCell ref="I5:L5"/>
    <mergeCell ref="M5:P5"/>
    <mergeCell ref="Q5:U5"/>
    <mergeCell ref="B9:D9"/>
    <mergeCell ref="B10:D10"/>
    <mergeCell ref="B11:D11"/>
    <mergeCell ref="B12:D12"/>
    <mergeCell ref="B13:D13"/>
  </mergeCells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B1:D14"/>
  <sheetViews>
    <sheetView workbookViewId="0">
      <selection activeCell="I4" sqref="I4"/>
    </sheetView>
  </sheetViews>
  <sheetFormatPr defaultRowHeight="12.75" x14ac:dyDescent="0.2"/>
  <cols>
    <col min="3" max="3" width="26" customWidth="1"/>
    <col min="4" max="4" width="37.42578125" customWidth="1"/>
  </cols>
  <sheetData>
    <row r="1" spans="2:4" ht="32.25" thickBot="1" x14ac:dyDescent="0.3">
      <c r="B1" s="728"/>
      <c r="C1" s="729" t="s">
        <v>491</v>
      </c>
      <c r="D1" s="727" t="s">
        <v>494</v>
      </c>
    </row>
    <row r="2" spans="2:4" ht="15.75" x14ac:dyDescent="0.2">
      <c r="B2" s="237">
        <v>1</v>
      </c>
      <c r="C2" s="238" t="s">
        <v>182</v>
      </c>
      <c r="D2" s="239">
        <v>1316044151</v>
      </c>
    </row>
    <row r="3" spans="2:4" ht="15.75" x14ac:dyDescent="0.2">
      <c r="B3" s="250" t="s">
        <v>495</v>
      </c>
      <c r="C3" s="240" t="s">
        <v>489</v>
      </c>
      <c r="D3" s="239">
        <v>259762192</v>
      </c>
    </row>
    <row r="4" spans="2:4" ht="15.75" x14ac:dyDescent="0.2">
      <c r="B4" s="241">
        <v>2</v>
      </c>
      <c r="C4" s="242" t="s">
        <v>462</v>
      </c>
      <c r="D4" s="243">
        <v>109934462</v>
      </c>
    </row>
    <row r="5" spans="2:4" ht="15.75" x14ac:dyDescent="0.2">
      <c r="B5" s="241">
        <v>3</v>
      </c>
      <c r="C5" s="242" t="s">
        <v>461</v>
      </c>
      <c r="D5" s="243">
        <v>118538942</v>
      </c>
    </row>
    <row r="6" spans="2:4" ht="15.75" x14ac:dyDescent="0.2">
      <c r="B6" s="241">
        <v>4</v>
      </c>
      <c r="C6" s="242" t="s">
        <v>460</v>
      </c>
      <c r="D6" s="243">
        <v>80096648</v>
      </c>
    </row>
    <row r="7" spans="2:4" ht="15.75" x14ac:dyDescent="0.2">
      <c r="B7" s="241">
        <v>5</v>
      </c>
      <c r="C7" s="242" t="s">
        <v>467</v>
      </c>
      <c r="D7" s="243">
        <v>204991531</v>
      </c>
    </row>
    <row r="8" spans="2:4" ht="15.75" x14ac:dyDescent="0.2">
      <c r="B8" s="241">
        <v>6</v>
      </c>
      <c r="C8" s="242" t="s">
        <v>463</v>
      </c>
      <c r="D8" s="243">
        <v>87917484</v>
      </c>
    </row>
    <row r="9" spans="2:4" ht="15.75" x14ac:dyDescent="0.2">
      <c r="B9" s="241">
        <v>7</v>
      </c>
      <c r="C9" s="242" t="s">
        <v>466</v>
      </c>
      <c r="D9" s="243">
        <v>88216725</v>
      </c>
    </row>
    <row r="10" spans="2:4" ht="16.5" thickBot="1" x14ac:dyDescent="0.25">
      <c r="B10" s="730">
        <v>9</v>
      </c>
      <c r="C10" s="733" t="s">
        <v>490</v>
      </c>
      <c r="D10" s="243">
        <v>71186240</v>
      </c>
    </row>
    <row r="11" spans="2:4" ht="19.5" thickBot="1" x14ac:dyDescent="0.25">
      <c r="B11" s="732"/>
      <c r="C11" s="735" t="s">
        <v>59</v>
      </c>
      <c r="D11" s="736">
        <f>SUM(D2:D10)</f>
        <v>2336688375</v>
      </c>
    </row>
    <row r="12" spans="2:4" ht="15.75" x14ac:dyDescent="0.25">
      <c r="B12" s="731"/>
      <c r="C12" s="734" t="s">
        <v>492</v>
      </c>
      <c r="D12" s="239">
        <v>103025935</v>
      </c>
    </row>
    <row r="13" spans="2:4" ht="15" x14ac:dyDescent="0.25">
      <c r="B13" s="244"/>
      <c r="C13" s="245"/>
      <c r="D13" s="245"/>
    </row>
    <row r="14" spans="2:4" ht="16.5" thickBot="1" x14ac:dyDescent="0.3">
      <c r="B14" s="246"/>
      <c r="C14" s="248" t="s">
        <v>493</v>
      </c>
      <c r="D14" s="247">
        <v>2439714310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M20"/>
  <sheetViews>
    <sheetView workbookViewId="0">
      <selection activeCell="K29" sqref="K29"/>
    </sheetView>
  </sheetViews>
  <sheetFormatPr defaultRowHeight="12.75" x14ac:dyDescent="0.2"/>
  <cols>
    <col min="1" max="1" width="15.42578125" customWidth="1"/>
    <col min="3" max="3" width="14.42578125" customWidth="1"/>
    <col min="6" max="6" width="17.85546875" customWidth="1"/>
    <col min="7" max="7" width="18" customWidth="1"/>
    <col min="8" max="8" width="12.85546875" customWidth="1"/>
    <col min="11" max="11" width="13.42578125" customWidth="1"/>
    <col min="13" max="13" width="20.140625" customWidth="1"/>
  </cols>
  <sheetData>
    <row r="1" spans="1:13" ht="13.5" thickBot="1" x14ac:dyDescent="0.25"/>
    <row r="2" spans="1:13" ht="30" thickBot="1" x14ac:dyDescent="0.3">
      <c r="A2" s="370" t="s">
        <v>177</v>
      </c>
      <c r="B2" s="1082" t="s">
        <v>642</v>
      </c>
      <c r="C2" s="1083"/>
      <c r="D2" s="1083"/>
      <c r="E2" s="1084"/>
      <c r="F2" s="373" t="s">
        <v>649</v>
      </c>
      <c r="G2" s="371" t="s">
        <v>650</v>
      </c>
      <c r="H2" s="372" t="s">
        <v>651</v>
      </c>
      <c r="M2" s="362"/>
    </row>
    <row r="3" spans="1:13" ht="13.5" thickBot="1" x14ac:dyDescent="0.25">
      <c r="A3" s="1011"/>
      <c r="B3" s="1011"/>
      <c r="C3" s="1011"/>
      <c r="D3" s="1011"/>
      <c r="E3" s="1011"/>
      <c r="F3" s="1011"/>
      <c r="G3" s="1011"/>
    </row>
    <row r="4" spans="1:13" ht="15" x14ac:dyDescent="0.25">
      <c r="A4" s="363" t="s">
        <v>643</v>
      </c>
      <c r="B4" s="62" t="s">
        <v>644</v>
      </c>
      <c r="C4" s="62"/>
      <c r="D4" s="62"/>
      <c r="E4" s="62"/>
      <c r="F4" s="364">
        <v>84578000</v>
      </c>
      <c r="G4" s="364">
        <v>3606443</v>
      </c>
      <c r="H4" s="263">
        <f>F4+G4</f>
        <v>88184443</v>
      </c>
      <c r="K4" s="35"/>
      <c r="M4" s="35"/>
    </row>
    <row r="5" spans="1:13" ht="15" x14ac:dyDescent="0.25">
      <c r="A5" s="365" t="s">
        <v>552</v>
      </c>
      <c r="B5" s="366" t="s">
        <v>645</v>
      </c>
      <c r="C5" s="366"/>
      <c r="D5" s="366"/>
      <c r="E5" s="366"/>
      <c r="F5" s="335">
        <v>49444325</v>
      </c>
      <c r="G5" s="335">
        <v>2108328</v>
      </c>
      <c r="H5" s="336">
        <f t="shared" ref="H5:H15" si="0">F5+G5</f>
        <v>51552653</v>
      </c>
      <c r="K5" s="35"/>
      <c r="M5" s="35"/>
    </row>
    <row r="6" spans="1:13" ht="15" x14ac:dyDescent="0.25">
      <c r="A6" s="365" t="s">
        <v>472</v>
      </c>
      <c r="B6" s="366" t="s">
        <v>645</v>
      </c>
      <c r="C6" s="366"/>
      <c r="D6" s="366"/>
      <c r="E6" s="366"/>
      <c r="F6" s="335">
        <v>58861300</v>
      </c>
      <c r="G6" s="335">
        <v>2509872</v>
      </c>
      <c r="H6" s="336">
        <f t="shared" si="0"/>
        <v>61371172</v>
      </c>
      <c r="K6" s="35"/>
      <c r="M6" s="35"/>
    </row>
    <row r="7" spans="1:13" ht="15" x14ac:dyDescent="0.25">
      <c r="A7" s="365" t="s">
        <v>180</v>
      </c>
      <c r="B7" s="366" t="s">
        <v>645</v>
      </c>
      <c r="C7" s="366"/>
      <c r="D7" s="366"/>
      <c r="E7" s="366"/>
      <c r="F7" s="335">
        <v>49832450</v>
      </c>
      <c r="G7" s="335">
        <v>2124878</v>
      </c>
      <c r="H7" s="336">
        <f t="shared" si="0"/>
        <v>51957328</v>
      </c>
      <c r="K7" s="35"/>
      <c r="M7" s="35"/>
    </row>
    <row r="8" spans="1:13" ht="15" x14ac:dyDescent="0.25">
      <c r="A8" s="365" t="s">
        <v>409</v>
      </c>
      <c r="B8" s="1088" t="s">
        <v>646</v>
      </c>
      <c r="C8" s="1089"/>
      <c r="D8" s="1089"/>
      <c r="E8" s="1090"/>
      <c r="F8" s="335">
        <v>101671800</v>
      </c>
      <c r="G8" s="335">
        <v>4335330</v>
      </c>
      <c r="H8" s="336">
        <f t="shared" si="0"/>
        <v>106007130</v>
      </c>
      <c r="K8" s="35"/>
      <c r="M8" s="35"/>
    </row>
    <row r="9" spans="1:13" ht="15" x14ac:dyDescent="0.25">
      <c r="A9" s="365" t="s">
        <v>553</v>
      </c>
      <c r="B9" s="1088" t="s">
        <v>646</v>
      </c>
      <c r="C9" s="1089"/>
      <c r="D9" s="1089"/>
      <c r="E9" s="1090"/>
      <c r="F9" s="335">
        <v>109616175</v>
      </c>
      <c r="G9" s="335">
        <v>4674082</v>
      </c>
      <c r="H9" s="336">
        <f t="shared" si="0"/>
        <v>114290257</v>
      </c>
      <c r="K9" s="35"/>
      <c r="M9" s="35"/>
    </row>
    <row r="10" spans="1:13" ht="15" x14ac:dyDescent="0.25">
      <c r="A10" s="365" t="s">
        <v>466</v>
      </c>
      <c r="B10" s="1088" t="s">
        <v>646</v>
      </c>
      <c r="C10" s="1089"/>
      <c r="D10" s="1089"/>
      <c r="E10" s="1090"/>
      <c r="F10" s="335">
        <v>88129100</v>
      </c>
      <c r="G10" s="335">
        <v>3757864</v>
      </c>
      <c r="H10" s="336">
        <f t="shared" si="0"/>
        <v>91886964</v>
      </c>
      <c r="K10" s="35"/>
      <c r="M10" s="35"/>
    </row>
    <row r="11" spans="1:13" ht="15" x14ac:dyDescent="0.25">
      <c r="A11" s="365" t="s">
        <v>461</v>
      </c>
      <c r="B11" s="1088" t="s">
        <v>647</v>
      </c>
      <c r="C11" s="1089"/>
      <c r="D11" s="1089"/>
      <c r="E11" s="1090"/>
      <c r="F11" s="335">
        <v>140777500</v>
      </c>
      <c r="G11" s="335">
        <v>6002814</v>
      </c>
      <c r="H11" s="336">
        <f t="shared" si="0"/>
        <v>146780314</v>
      </c>
      <c r="K11" s="35"/>
      <c r="M11" s="35"/>
    </row>
    <row r="12" spans="1:13" ht="15" x14ac:dyDescent="0.25">
      <c r="A12" s="365" t="s">
        <v>471</v>
      </c>
      <c r="B12" s="1088" t="s">
        <v>647</v>
      </c>
      <c r="C12" s="1089"/>
      <c r="D12" s="1089"/>
      <c r="E12" s="1090"/>
      <c r="F12" s="335">
        <v>72420000</v>
      </c>
      <c r="G12" s="335">
        <v>3088021</v>
      </c>
      <c r="H12" s="336">
        <f t="shared" si="0"/>
        <v>75508021</v>
      </c>
      <c r="K12" s="35"/>
      <c r="M12" s="35"/>
    </row>
    <row r="13" spans="1:13" ht="15" x14ac:dyDescent="0.25">
      <c r="A13" s="365" t="s">
        <v>551</v>
      </c>
      <c r="B13" s="1088" t="s">
        <v>647</v>
      </c>
      <c r="C13" s="1089"/>
      <c r="D13" s="1089"/>
      <c r="E13" s="1090"/>
      <c r="F13" s="335">
        <v>133032000</v>
      </c>
      <c r="G13" s="335">
        <v>5672543</v>
      </c>
      <c r="H13" s="336">
        <f t="shared" si="0"/>
        <v>138704543</v>
      </c>
      <c r="K13" s="35"/>
      <c r="M13" s="35"/>
    </row>
    <row r="14" spans="1:13" ht="15" x14ac:dyDescent="0.25">
      <c r="A14" s="365" t="s">
        <v>181</v>
      </c>
      <c r="B14" s="366" t="s">
        <v>644</v>
      </c>
      <c r="C14" s="366"/>
      <c r="D14" s="366"/>
      <c r="E14" s="366"/>
      <c r="F14" s="335">
        <v>3626000</v>
      </c>
      <c r="G14" s="335">
        <v>154614</v>
      </c>
      <c r="H14" s="336">
        <f t="shared" si="0"/>
        <v>3780614</v>
      </c>
      <c r="K14" s="35"/>
      <c r="M14" s="35"/>
    </row>
    <row r="15" spans="1:13" ht="15" x14ac:dyDescent="0.25">
      <c r="A15" s="365" t="s">
        <v>410</v>
      </c>
      <c r="B15" s="1088" t="s">
        <v>648</v>
      </c>
      <c r="C15" s="1089"/>
      <c r="D15" s="1089"/>
      <c r="E15" s="1090"/>
      <c r="F15" s="335">
        <v>8222500</v>
      </c>
      <c r="G15" s="335">
        <v>350611</v>
      </c>
      <c r="H15" s="336">
        <f t="shared" si="0"/>
        <v>8573111</v>
      </c>
      <c r="K15" s="35"/>
      <c r="M15" s="35"/>
    </row>
    <row r="16" spans="1:13" ht="13.5" thickBot="1" x14ac:dyDescent="0.25">
      <c r="A16" s="337"/>
      <c r="B16" s="1085"/>
      <c r="C16" s="1086"/>
      <c r="D16" s="1086"/>
      <c r="E16" s="1087"/>
      <c r="F16" s="340">
        <f>SUM(F4:F15)</f>
        <v>900211150</v>
      </c>
      <c r="G16" s="369">
        <f>SUM(G4:G15)</f>
        <v>38385400</v>
      </c>
      <c r="H16" s="306">
        <f>SUM(H4:H15)</f>
        <v>938596550</v>
      </c>
      <c r="I16" s="367"/>
    </row>
    <row r="17" spans="1:13" x14ac:dyDescent="0.2">
      <c r="A17" s="64"/>
      <c r="B17" s="64"/>
      <c r="C17" s="64"/>
      <c r="D17" s="64"/>
      <c r="E17" s="64"/>
      <c r="F17" s="64"/>
    </row>
    <row r="18" spans="1:13" x14ac:dyDescent="0.2">
      <c r="C18" s="53"/>
      <c r="F18" s="35"/>
      <c r="K18" s="35"/>
      <c r="L18" s="368"/>
      <c r="M18" s="35"/>
    </row>
    <row r="20" spans="1:13" x14ac:dyDescent="0.2">
      <c r="A20" s="1009"/>
      <c r="B20" s="1011"/>
      <c r="C20" s="1011"/>
      <c r="D20" s="1011"/>
      <c r="E20" s="1011"/>
      <c r="F20" s="35"/>
    </row>
  </sheetData>
  <mergeCells count="11">
    <mergeCell ref="A20:E20"/>
    <mergeCell ref="B2:E2"/>
    <mergeCell ref="A3:G3"/>
    <mergeCell ref="B16:E16"/>
    <mergeCell ref="B8:E8"/>
    <mergeCell ref="B9:E9"/>
    <mergeCell ref="B10:E10"/>
    <mergeCell ref="B11:E11"/>
    <mergeCell ref="B12:E12"/>
    <mergeCell ref="B13:E13"/>
    <mergeCell ref="B15:E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F131"/>
  <sheetViews>
    <sheetView workbookViewId="0">
      <selection activeCell="H25" sqref="H25"/>
    </sheetView>
  </sheetViews>
  <sheetFormatPr defaultRowHeight="12.75" x14ac:dyDescent="0.2"/>
  <cols>
    <col min="1" max="1" width="57.140625" customWidth="1"/>
    <col min="2" max="2" width="20.85546875" customWidth="1"/>
    <col min="3" max="3" width="19.28515625" customWidth="1"/>
    <col min="4" max="4" width="21" customWidth="1"/>
    <col min="5" max="5" width="20.28515625" customWidth="1"/>
    <col min="6" max="6" width="24.85546875" customWidth="1"/>
    <col min="254" max="254" width="57.140625" customWidth="1"/>
    <col min="255" max="256" width="20.85546875" customWidth="1"/>
    <col min="257" max="257" width="19.28515625" customWidth="1"/>
    <col min="258" max="260" width="16.7109375" customWidth="1"/>
    <col min="261" max="261" width="19.28515625" customWidth="1"/>
    <col min="510" max="510" width="57.140625" customWidth="1"/>
    <col min="511" max="512" width="20.85546875" customWidth="1"/>
    <col min="513" max="513" width="19.28515625" customWidth="1"/>
    <col min="514" max="516" width="16.7109375" customWidth="1"/>
    <col min="517" max="517" width="19.28515625" customWidth="1"/>
    <col min="766" max="766" width="57.140625" customWidth="1"/>
    <col min="767" max="768" width="20.85546875" customWidth="1"/>
    <col min="769" max="769" width="19.28515625" customWidth="1"/>
    <col min="770" max="772" width="16.7109375" customWidth="1"/>
    <col min="773" max="773" width="19.28515625" customWidth="1"/>
    <col min="1022" max="1022" width="57.140625" customWidth="1"/>
    <col min="1023" max="1024" width="20.85546875" customWidth="1"/>
    <col min="1025" max="1025" width="19.28515625" customWidth="1"/>
    <col min="1026" max="1028" width="16.7109375" customWidth="1"/>
    <col min="1029" max="1029" width="19.28515625" customWidth="1"/>
    <col min="1278" max="1278" width="57.140625" customWidth="1"/>
    <col min="1279" max="1280" width="20.85546875" customWidth="1"/>
    <col min="1281" max="1281" width="19.28515625" customWidth="1"/>
    <col min="1282" max="1284" width="16.7109375" customWidth="1"/>
    <col min="1285" max="1285" width="19.28515625" customWidth="1"/>
    <col min="1534" max="1534" width="57.140625" customWidth="1"/>
    <col min="1535" max="1536" width="20.85546875" customWidth="1"/>
    <col min="1537" max="1537" width="19.28515625" customWidth="1"/>
    <col min="1538" max="1540" width="16.7109375" customWidth="1"/>
    <col min="1541" max="1541" width="19.28515625" customWidth="1"/>
    <col min="1790" max="1790" width="57.140625" customWidth="1"/>
    <col min="1791" max="1792" width="20.85546875" customWidth="1"/>
    <col min="1793" max="1793" width="19.28515625" customWidth="1"/>
    <col min="1794" max="1796" width="16.7109375" customWidth="1"/>
    <col min="1797" max="1797" width="19.28515625" customWidth="1"/>
    <col min="2046" max="2046" width="57.140625" customWidth="1"/>
    <col min="2047" max="2048" width="20.85546875" customWidth="1"/>
    <col min="2049" max="2049" width="19.28515625" customWidth="1"/>
    <col min="2050" max="2052" width="16.7109375" customWidth="1"/>
    <col min="2053" max="2053" width="19.28515625" customWidth="1"/>
    <col min="2302" max="2302" width="57.140625" customWidth="1"/>
    <col min="2303" max="2304" width="20.85546875" customWidth="1"/>
    <col min="2305" max="2305" width="19.28515625" customWidth="1"/>
    <col min="2306" max="2308" width="16.7109375" customWidth="1"/>
    <col min="2309" max="2309" width="19.28515625" customWidth="1"/>
    <col min="2558" max="2558" width="57.140625" customWidth="1"/>
    <col min="2559" max="2560" width="20.85546875" customWidth="1"/>
    <col min="2561" max="2561" width="19.28515625" customWidth="1"/>
    <col min="2562" max="2564" width="16.7109375" customWidth="1"/>
    <col min="2565" max="2565" width="19.28515625" customWidth="1"/>
    <col min="2814" max="2814" width="57.140625" customWidth="1"/>
    <col min="2815" max="2816" width="20.85546875" customWidth="1"/>
    <col min="2817" max="2817" width="19.28515625" customWidth="1"/>
    <col min="2818" max="2820" width="16.7109375" customWidth="1"/>
    <col min="2821" max="2821" width="19.28515625" customWidth="1"/>
    <col min="3070" max="3070" width="57.140625" customWidth="1"/>
    <col min="3071" max="3072" width="20.85546875" customWidth="1"/>
    <col min="3073" max="3073" width="19.28515625" customWidth="1"/>
    <col min="3074" max="3076" width="16.7109375" customWidth="1"/>
    <col min="3077" max="3077" width="19.28515625" customWidth="1"/>
    <col min="3326" max="3326" width="57.140625" customWidth="1"/>
    <col min="3327" max="3328" width="20.85546875" customWidth="1"/>
    <col min="3329" max="3329" width="19.28515625" customWidth="1"/>
    <col min="3330" max="3332" width="16.7109375" customWidth="1"/>
    <col min="3333" max="3333" width="19.28515625" customWidth="1"/>
    <col min="3582" max="3582" width="57.140625" customWidth="1"/>
    <col min="3583" max="3584" width="20.85546875" customWidth="1"/>
    <col min="3585" max="3585" width="19.28515625" customWidth="1"/>
    <col min="3586" max="3588" width="16.7109375" customWidth="1"/>
    <col min="3589" max="3589" width="19.28515625" customWidth="1"/>
    <col min="3838" max="3838" width="57.140625" customWidth="1"/>
    <col min="3839" max="3840" width="20.85546875" customWidth="1"/>
    <col min="3841" max="3841" width="19.28515625" customWidth="1"/>
    <col min="3842" max="3844" width="16.7109375" customWidth="1"/>
    <col min="3845" max="3845" width="19.28515625" customWidth="1"/>
    <col min="4094" max="4094" width="57.140625" customWidth="1"/>
    <col min="4095" max="4096" width="20.85546875" customWidth="1"/>
    <col min="4097" max="4097" width="19.28515625" customWidth="1"/>
    <col min="4098" max="4100" width="16.7109375" customWidth="1"/>
    <col min="4101" max="4101" width="19.28515625" customWidth="1"/>
    <col min="4350" max="4350" width="57.140625" customWidth="1"/>
    <col min="4351" max="4352" width="20.85546875" customWidth="1"/>
    <col min="4353" max="4353" width="19.28515625" customWidth="1"/>
    <col min="4354" max="4356" width="16.7109375" customWidth="1"/>
    <col min="4357" max="4357" width="19.28515625" customWidth="1"/>
    <col min="4606" max="4606" width="57.140625" customWidth="1"/>
    <col min="4607" max="4608" width="20.85546875" customWidth="1"/>
    <col min="4609" max="4609" width="19.28515625" customWidth="1"/>
    <col min="4610" max="4612" width="16.7109375" customWidth="1"/>
    <col min="4613" max="4613" width="19.28515625" customWidth="1"/>
    <col min="4862" max="4862" width="57.140625" customWidth="1"/>
    <col min="4863" max="4864" width="20.85546875" customWidth="1"/>
    <col min="4865" max="4865" width="19.28515625" customWidth="1"/>
    <col min="4866" max="4868" width="16.7109375" customWidth="1"/>
    <col min="4869" max="4869" width="19.28515625" customWidth="1"/>
    <col min="5118" max="5118" width="57.140625" customWidth="1"/>
    <col min="5119" max="5120" width="20.85546875" customWidth="1"/>
    <col min="5121" max="5121" width="19.28515625" customWidth="1"/>
    <col min="5122" max="5124" width="16.7109375" customWidth="1"/>
    <col min="5125" max="5125" width="19.28515625" customWidth="1"/>
    <col min="5374" max="5374" width="57.140625" customWidth="1"/>
    <col min="5375" max="5376" width="20.85546875" customWidth="1"/>
    <col min="5377" max="5377" width="19.28515625" customWidth="1"/>
    <col min="5378" max="5380" width="16.7109375" customWidth="1"/>
    <col min="5381" max="5381" width="19.28515625" customWidth="1"/>
    <col min="5630" max="5630" width="57.140625" customWidth="1"/>
    <col min="5631" max="5632" width="20.85546875" customWidth="1"/>
    <col min="5633" max="5633" width="19.28515625" customWidth="1"/>
    <col min="5634" max="5636" width="16.7109375" customWidth="1"/>
    <col min="5637" max="5637" width="19.28515625" customWidth="1"/>
    <col min="5886" max="5886" width="57.140625" customWidth="1"/>
    <col min="5887" max="5888" width="20.85546875" customWidth="1"/>
    <col min="5889" max="5889" width="19.28515625" customWidth="1"/>
    <col min="5890" max="5892" width="16.7109375" customWidth="1"/>
    <col min="5893" max="5893" width="19.28515625" customWidth="1"/>
    <col min="6142" max="6142" width="57.140625" customWidth="1"/>
    <col min="6143" max="6144" width="20.85546875" customWidth="1"/>
    <col min="6145" max="6145" width="19.28515625" customWidth="1"/>
    <col min="6146" max="6148" width="16.7109375" customWidth="1"/>
    <col min="6149" max="6149" width="19.28515625" customWidth="1"/>
    <col min="6398" max="6398" width="57.140625" customWidth="1"/>
    <col min="6399" max="6400" width="20.85546875" customWidth="1"/>
    <col min="6401" max="6401" width="19.28515625" customWidth="1"/>
    <col min="6402" max="6404" width="16.7109375" customWidth="1"/>
    <col min="6405" max="6405" width="19.28515625" customWidth="1"/>
    <col min="6654" max="6654" width="57.140625" customWidth="1"/>
    <col min="6655" max="6656" width="20.85546875" customWidth="1"/>
    <col min="6657" max="6657" width="19.28515625" customWidth="1"/>
    <col min="6658" max="6660" width="16.7109375" customWidth="1"/>
    <col min="6661" max="6661" width="19.28515625" customWidth="1"/>
    <col min="6910" max="6910" width="57.140625" customWidth="1"/>
    <col min="6911" max="6912" width="20.85546875" customWidth="1"/>
    <col min="6913" max="6913" width="19.28515625" customWidth="1"/>
    <col min="6914" max="6916" width="16.7109375" customWidth="1"/>
    <col min="6917" max="6917" width="19.28515625" customWidth="1"/>
    <col min="7166" max="7166" width="57.140625" customWidth="1"/>
    <col min="7167" max="7168" width="20.85546875" customWidth="1"/>
    <col min="7169" max="7169" width="19.28515625" customWidth="1"/>
    <col min="7170" max="7172" width="16.7109375" customWidth="1"/>
    <col min="7173" max="7173" width="19.28515625" customWidth="1"/>
    <col min="7422" max="7422" width="57.140625" customWidth="1"/>
    <col min="7423" max="7424" width="20.85546875" customWidth="1"/>
    <col min="7425" max="7425" width="19.28515625" customWidth="1"/>
    <col min="7426" max="7428" width="16.7109375" customWidth="1"/>
    <col min="7429" max="7429" width="19.28515625" customWidth="1"/>
    <col min="7678" max="7678" width="57.140625" customWidth="1"/>
    <col min="7679" max="7680" width="20.85546875" customWidth="1"/>
    <col min="7681" max="7681" width="19.28515625" customWidth="1"/>
    <col min="7682" max="7684" width="16.7109375" customWidth="1"/>
    <col min="7685" max="7685" width="19.28515625" customWidth="1"/>
    <col min="7934" max="7934" width="57.140625" customWidth="1"/>
    <col min="7935" max="7936" width="20.85546875" customWidth="1"/>
    <col min="7937" max="7937" width="19.28515625" customWidth="1"/>
    <col min="7938" max="7940" width="16.7109375" customWidth="1"/>
    <col min="7941" max="7941" width="19.28515625" customWidth="1"/>
    <col min="8190" max="8190" width="57.140625" customWidth="1"/>
    <col min="8191" max="8192" width="20.85546875" customWidth="1"/>
    <col min="8193" max="8193" width="19.28515625" customWidth="1"/>
    <col min="8194" max="8196" width="16.7109375" customWidth="1"/>
    <col min="8197" max="8197" width="19.28515625" customWidth="1"/>
    <col min="8446" max="8446" width="57.140625" customWidth="1"/>
    <col min="8447" max="8448" width="20.85546875" customWidth="1"/>
    <col min="8449" max="8449" width="19.28515625" customWidth="1"/>
    <col min="8450" max="8452" width="16.7109375" customWidth="1"/>
    <col min="8453" max="8453" width="19.28515625" customWidth="1"/>
    <col min="8702" max="8702" width="57.140625" customWidth="1"/>
    <col min="8703" max="8704" width="20.85546875" customWidth="1"/>
    <col min="8705" max="8705" width="19.28515625" customWidth="1"/>
    <col min="8706" max="8708" width="16.7109375" customWidth="1"/>
    <col min="8709" max="8709" width="19.28515625" customWidth="1"/>
    <col min="8958" max="8958" width="57.140625" customWidth="1"/>
    <col min="8959" max="8960" width="20.85546875" customWidth="1"/>
    <col min="8961" max="8961" width="19.28515625" customWidth="1"/>
    <col min="8962" max="8964" width="16.7109375" customWidth="1"/>
    <col min="8965" max="8965" width="19.28515625" customWidth="1"/>
    <col min="9214" max="9214" width="57.140625" customWidth="1"/>
    <col min="9215" max="9216" width="20.85546875" customWidth="1"/>
    <col min="9217" max="9217" width="19.28515625" customWidth="1"/>
    <col min="9218" max="9220" width="16.7109375" customWidth="1"/>
    <col min="9221" max="9221" width="19.28515625" customWidth="1"/>
    <col min="9470" max="9470" width="57.140625" customWidth="1"/>
    <col min="9471" max="9472" width="20.85546875" customWidth="1"/>
    <col min="9473" max="9473" width="19.28515625" customWidth="1"/>
    <col min="9474" max="9476" width="16.7109375" customWidth="1"/>
    <col min="9477" max="9477" width="19.28515625" customWidth="1"/>
    <col min="9726" max="9726" width="57.140625" customWidth="1"/>
    <col min="9727" max="9728" width="20.85546875" customWidth="1"/>
    <col min="9729" max="9729" width="19.28515625" customWidth="1"/>
    <col min="9730" max="9732" width="16.7109375" customWidth="1"/>
    <col min="9733" max="9733" width="19.28515625" customWidth="1"/>
    <col min="9982" max="9982" width="57.140625" customWidth="1"/>
    <col min="9983" max="9984" width="20.85546875" customWidth="1"/>
    <col min="9985" max="9985" width="19.28515625" customWidth="1"/>
    <col min="9986" max="9988" width="16.7109375" customWidth="1"/>
    <col min="9989" max="9989" width="19.28515625" customWidth="1"/>
    <col min="10238" max="10238" width="57.140625" customWidth="1"/>
    <col min="10239" max="10240" width="20.85546875" customWidth="1"/>
    <col min="10241" max="10241" width="19.28515625" customWidth="1"/>
    <col min="10242" max="10244" width="16.7109375" customWidth="1"/>
    <col min="10245" max="10245" width="19.28515625" customWidth="1"/>
    <col min="10494" max="10494" width="57.140625" customWidth="1"/>
    <col min="10495" max="10496" width="20.85546875" customWidth="1"/>
    <col min="10497" max="10497" width="19.28515625" customWidth="1"/>
    <col min="10498" max="10500" width="16.7109375" customWidth="1"/>
    <col min="10501" max="10501" width="19.28515625" customWidth="1"/>
    <col min="10750" max="10750" width="57.140625" customWidth="1"/>
    <col min="10751" max="10752" width="20.85546875" customWidth="1"/>
    <col min="10753" max="10753" width="19.28515625" customWidth="1"/>
    <col min="10754" max="10756" width="16.7109375" customWidth="1"/>
    <col min="10757" max="10757" width="19.28515625" customWidth="1"/>
    <col min="11006" max="11006" width="57.140625" customWidth="1"/>
    <col min="11007" max="11008" width="20.85546875" customWidth="1"/>
    <col min="11009" max="11009" width="19.28515625" customWidth="1"/>
    <col min="11010" max="11012" width="16.7109375" customWidth="1"/>
    <col min="11013" max="11013" width="19.28515625" customWidth="1"/>
    <col min="11262" max="11262" width="57.140625" customWidth="1"/>
    <col min="11263" max="11264" width="20.85546875" customWidth="1"/>
    <col min="11265" max="11265" width="19.28515625" customWidth="1"/>
    <col min="11266" max="11268" width="16.7109375" customWidth="1"/>
    <col min="11269" max="11269" width="19.28515625" customWidth="1"/>
    <col min="11518" max="11518" width="57.140625" customWidth="1"/>
    <col min="11519" max="11520" width="20.85546875" customWidth="1"/>
    <col min="11521" max="11521" width="19.28515625" customWidth="1"/>
    <col min="11522" max="11524" width="16.7109375" customWidth="1"/>
    <col min="11525" max="11525" width="19.28515625" customWidth="1"/>
    <col min="11774" max="11774" width="57.140625" customWidth="1"/>
    <col min="11775" max="11776" width="20.85546875" customWidth="1"/>
    <col min="11777" max="11777" width="19.28515625" customWidth="1"/>
    <col min="11778" max="11780" width="16.7109375" customWidth="1"/>
    <col min="11781" max="11781" width="19.28515625" customWidth="1"/>
    <col min="12030" max="12030" width="57.140625" customWidth="1"/>
    <col min="12031" max="12032" width="20.85546875" customWidth="1"/>
    <col min="12033" max="12033" width="19.28515625" customWidth="1"/>
    <col min="12034" max="12036" width="16.7109375" customWidth="1"/>
    <col min="12037" max="12037" width="19.28515625" customWidth="1"/>
    <col min="12286" max="12286" width="57.140625" customWidth="1"/>
    <col min="12287" max="12288" width="20.85546875" customWidth="1"/>
    <col min="12289" max="12289" width="19.28515625" customWidth="1"/>
    <col min="12290" max="12292" width="16.7109375" customWidth="1"/>
    <col min="12293" max="12293" width="19.28515625" customWidth="1"/>
    <col min="12542" max="12542" width="57.140625" customWidth="1"/>
    <col min="12543" max="12544" width="20.85546875" customWidth="1"/>
    <col min="12545" max="12545" width="19.28515625" customWidth="1"/>
    <col min="12546" max="12548" width="16.7109375" customWidth="1"/>
    <col min="12549" max="12549" width="19.28515625" customWidth="1"/>
    <col min="12798" max="12798" width="57.140625" customWidth="1"/>
    <col min="12799" max="12800" width="20.85546875" customWidth="1"/>
    <col min="12801" max="12801" width="19.28515625" customWidth="1"/>
    <col min="12802" max="12804" width="16.7109375" customWidth="1"/>
    <col min="12805" max="12805" width="19.28515625" customWidth="1"/>
    <col min="13054" max="13054" width="57.140625" customWidth="1"/>
    <col min="13055" max="13056" width="20.85546875" customWidth="1"/>
    <col min="13057" max="13057" width="19.28515625" customWidth="1"/>
    <col min="13058" max="13060" width="16.7109375" customWidth="1"/>
    <col min="13061" max="13061" width="19.28515625" customWidth="1"/>
    <col min="13310" max="13310" width="57.140625" customWidth="1"/>
    <col min="13311" max="13312" width="20.85546875" customWidth="1"/>
    <col min="13313" max="13313" width="19.28515625" customWidth="1"/>
    <col min="13314" max="13316" width="16.7109375" customWidth="1"/>
    <col min="13317" max="13317" width="19.28515625" customWidth="1"/>
    <col min="13566" max="13566" width="57.140625" customWidth="1"/>
    <col min="13567" max="13568" width="20.85546875" customWidth="1"/>
    <col min="13569" max="13569" width="19.28515625" customWidth="1"/>
    <col min="13570" max="13572" width="16.7109375" customWidth="1"/>
    <col min="13573" max="13573" width="19.28515625" customWidth="1"/>
    <col min="13822" max="13822" width="57.140625" customWidth="1"/>
    <col min="13823" max="13824" width="20.85546875" customWidth="1"/>
    <col min="13825" max="13825" width="19.28515625" customWidth="1"/>
    <col min="13826" max="13828" width="16.7109375" customWidth="1"/>
    <col min="13829" max="13829" width="19.28515625" customWidth="1"/>
    <col min="14078" max="14078" width="57.140625" customWidth="1"/>
    <col min="14079" max="14080" width="20.85546875" customWidth="1"/>
    <col min="14081" max="14081" width="19.28515625" customWidth="1"/>
    <col min="14082" max="14084" width="16.7109375" customWidth="1"/>
    <col min="14085" max="14085" width="19.28515625" customWidth="1"/>
    <col min="14334" max="14334" width="57.140625" customWidth="1"/>
    <col min="14335" max="14336" width="20.85546875" customWidth="1"/>
    <col min="14337" max="14337" width="19.28515625" customWidth="1"/>
    <col min="14338" max="14340" width="16.7109375" customWidth="1"/>
    <col min="14341" max="14341" width="19.28515625" customWidth="1"/>
    <col min="14590" max="14590" width="57.140625" customWidth="1"/>
    <col min="14591" max="14592" width="20.85546875" customWidth="1"/>
    <col min="14593" max="14593" width="19.28515625" customWidth="1"/>
    <col min="14594" max="14596" width="16.7109375" customWidth="1"/>
    <col min="14597" max="14597" width="19.28515625" customWidth="1"/>
    <col min="14846" max="14846" width="57.140625" customWidth="1"/>
    <col min="14847" max="14848" width="20.85546875" customWidth="1"/>
    <col min="14849" max="14849" width="19.28515625" customWidth="1"/>
    <col min="14850" max="14852" width="16.7109375" customWidth="1"/>
    <col min="14853" max="14853" width="19.28515625" customWidth="1"/>
    <col min="15102" max="15102" width="57.140625" customWidth="1"/>
    <col min="15103" max="15104" width="20.85546875" customWidth="1"/>
    <col min="15105" max="15105" width="19.28515625" customWidth="1"/>
    <col min="15106" max="15108" width="16.7109375" customWidth="1"/>
    <col min="15109" max="15109" width="19.28515625" customWidth="1"/>
    <col min="15358" max="15358" width="57.140625" customWidth="1"/>
    <col min="15359" max="15360" width="20.85546875" customWidth="1"/>
    <col min="15361" max="15361" width="19.28515625" customWidth="1"/>
    <col min="15362" max="15364" width="16.7109375" customWidth="1"/>
    <col min="15365" max="15365" width="19.28515625" customWidth="1"/>
    <col min="15614" max="15614" width="57.140625" customWidth="1"/>
    <col min="15615" max="15616" width="20.85546875" customWidth="1"/>
    <col min="15617" max="15617" width="19.28515625" customWidth="1"/>
    <col min="15618" max="15620" width="16.7109375" customWidth="1"/>
    <col min="15621" max="15621" width="19.28515625" customWidth="1"/>
    <col min="15870" max="15870" width="57.140625" customWidth="1"/>
    <col min="15871" max="15872" width="20.85546875" customWidth="1"/>
    <col min="15873" max="15873" width="19.28515625" customWidth="1"/>
    <col min="15874" max="15876" width="16.7109375" customWidth="1"/>
    <col min="15877" max="15877" width="19.28515625" customWidth="1"/>
    <col min="16126" max="16126" width="57.140625" customWidth="1"/>
    <col min="16127" max="16128" width="20.85546875" customWidth="1"/>
    <col min="16129" max="16129" width="19.28515625" customWidth="1"/>
    <col min="16130" max="16132" width="16.7109375" customWidth="1"/>
    <col min="16133" max="16133" width="19.28515625" customWidth="1"/>
  </cols>
  <sheetData>
    <row r="1" spans="1:6" ht="15.75" customHeight="1" x14ac:dyDescent="0.25">
      <c r="A1" s="1039" t="s">
        <v>828</v>
      </c>
      <c r="B1" s="1011"/>
      <c r="C1" s="1011"/>
    </row>
    <row r="2" spans="1:6" ht="15.75" customHeight="1" thickBot="1" x14ac:dyDescent="0.25"/>
    <row r="3" spans="1:6" ht="18.75" thickBot="1" x14ac:dyDescent="0.3">
      <c r="A3" s="410" t="s">
        <v>140</v>
      </c>
      <c r="B3" s="300" t="s">
        <v>829</v>
      </c>
      <c r="C3" s="300" t="s">
        <v>830</v>
      </c>
      <c r="D3" s="407" t="s">
        <v>831</v>
      </c>
      <c r="E3" s="408" t="s">
        <v>832</v>
      </c>
      <c r="F3" s="409" t="s">
        <v>833</v>
      </c>
    </row>
    <row r="4" spans="1:6" ht="33" customHeight="1" x14ac:dyDescent="0.3">
      <c r="A4" s="411" t="s">
        <v>75</v>
      </c>
      <c r="B4" s="295"/>
      <c r="C4" s="200"/>
      <c r="D4" s="295"/>
      <c r="E4" s="795"/>
      <c r="F4" s="419"/>
    </row>
    <row r="5" spans="1:6" ht="16.5" x14ac:dyDescent="0.3">
      <c r="A5" s="412" t="s">
        <v>76</v>
      </c>
      <c r="B5" s="404"/>
      <c r="C5" s="374"/>
      <c r="D5" s="404"/>
      <c r="E5" s="796">
        <f t="shared" ref="E5:E11" si="0">+C5+D5</f>
        <v>0</v>
      </c>
      <c r="F5" s="420"/>
    </row>
    <row r="6" spans="1:6" ht="16.5" x14ac:dyDescent="0.3">
      <c r="A6" s="413"/>
      <c r="B6" s="404"/>
      <c r="C6" s="374"/>
      <c r="D6" s="404"/>
      <c r="E6" s="796">
        <f t="shared" si="0"/>
        <v>0</v>
      </c>
      <c r="F6" s="420"/>
    </row>
    <row r="7" spans="1:6" ht="16.5" x14ac:dyDescent="0.3">
      <c r="A7" s="413"/>
      <c r="B7" s="404"/>
      <c r="C7" s="374"/>
      <c r="D7" s="404"/>
      <c r="E7" s="796">
        <f t="shared" si="0"/>
        <v>0</v>
      </c>
      <c r="F7" s="420"/>
    </row>
    <row r="8" spans="1:6" ht="48" x14ac:dyDescent="0.3">
      <c r="A8" s="412" t="s">
        <v>793</v>
      </c>
      <c r="B8" s="405">
        <v>140000</v>
      </c>
      <c r="C8" s="414">
        <v>161045</v>
      </c>
      <c r="D8" s="405"/>
      <c r="E8" s="796">
        <f t="shared" si="0"/>
        <v>161045</v>
      </c>
      <c r="F8" s="420"/>
    </row>
    <row r="9" spans="1:6" ht="16.5" x14ac:dyDescent="0.3">
      <c r="A9" s="413"/>
      <c r="B9" s="405"/>
      <c r="C9" s="414"/>
      <c r="D9" s="405"/>
      <c r="E9" s="796">
        <f t="shared" si="0"/>
        <v>0</v>
      </c>
      <c r="F9" s="420"/>
    </row>
    <row r="10" spans="1:6" ht="16.5" x14ac:dyDescent="0.3">
      <c r="A10" s="413"/>
      <c r="B10" s="405"/>
      <c r="C10" s="414"/>
      <c r="D10" s="405"/>
      <c r="E10" s="796">
        <f t="shared" si="0"/>
        <v>0</v>
      </c>
      <c r="F10" s="420"/>
    </row>
    <row r="11" spans="1:6" ht="16.5" thickBot="1" x14ac:dyDescent="0.3">
      <c r="A11" s="415" t="s">
        <v>78</v>
      </c>
      <c r="B11" s="416">
        <f>SUM(B5:B10)</f>
        <v>140000</v>
      </c>
      <c r="C11" s="417">
        <f>C8</f>
        <v>161045</v>
      </c>
      <c r="D11" s="416">
        <f>D5+D8</f>
        <v>0</v>
      </c>
      <c r="E11" s="422">
        <f t="shared" si="0"/>
        <v>161045</v>
      </c>
      <c r="F11" s="421"/>
    </row>
    <row r="12" spans="1:6" ht="16.5" x14ac:dyDescent="0.3">
      <c r="A12" s="29"/>
      <c r="C12" s="2"/>
      <c r="E12" s="797"/>
    </row>
    <row r="13" spans="1:6" ht="17.25" thickBot="1" x14ac:dyDescent="0.35">
      <c r="A13" s="29"/>
      <c r="C13" s="2"/>
      <c r="E13" s="797"/>
    </row>
    <row r="14" spans="1:6" ht="18.75" thickBot="1" x14ac:dyDescent="0.3">
      <c r="A14" s="410" t="s">
        <v>140</v>
      </c>
      <c r="B14" s="300" t="s">
        <v>829</v>
      </c>
      <c r="C14" s="300" t="s">
        <v>830</v>
      </c>
      <c r="D14" s="300" t="s">
        <v>834</v>
      </c>
      <c r="E14" s="418" t="s">
        <v>832</v>
      </c>
      <c r="F14" s="409" t="s">
        <v>835</v>
      </c>
    </row>
    <row r="15" spans="1:6" ht="33" customHeight="1" x14ac:dyDescent="0.3">
      <c r="A15" s="411" t="s">
        <v>79</v>
      </c>
      <c r="B15" s="295"/>
      <c r="C15" s="200"/>
      <c r="D15" s="295"/>
      <c r="E15" s="798"/>
      <c r="F15" s="76"/>
    </row>
    <row r="16" spans="1:6" ht="16.5" x14ac:dyDescent="0.3">
      <c r="A16" s="788" t="s">
        <v>76</v>
      </c>
      <c r="B16" s="786">
        <v>1125596</v>
      </c>
      <c r="C16" s="789"/>
      <c r="D16" s="786"/>
      <c r="E16" s="799">
        <f>C16+D16</f>
        <v>0</v>
      </c>
      <c r="F16" s="790">
        <v>0</v>
      </c>
    </row>
    <row r="17" spans="1:6" ht="16.5" x14ac:dyDescent="0.3">
      <c r="A17" s="788" t="s">
        <v>77</v>
      </c>
      <c r="B17" s="786">
        <v>347904</v>
      </c>
      <c r="C17" s="789">
        <v>70484</v>
      </c>
      <c r="D17" s="786"/>
      <c r="E17" s="799">
        <f>C17+D17</f>
        <v>70484</v>
      </c>
      <c r="F17" s="790">
        <v>0</v>
      </c>
    </row>
    <row r="18" spans="1:6" ht="16.5" thickBot="1" x14ac:dyDescent="0.3">
      <c r="A18" s="791" t="s">
        <v>80</v>
      </c>
      <c r="B18" s="792">
        <f>SUM(B16:B17)</f>
        <v>1473500</v>
      </c>
      <c r="C18" s="793">
        <f>SUM(C15:C17)</f>
        <v>70484</v>
      </c>
      <c r="D18" s="793">
        <f>SUM(D15:D17)</f>
        <v>0</v>
      </c>
      <c r="E18" s="792">
        <f>C18+D18</f>
        <v>70484</v>
      </c>
      <c r="F18" s="794">
        <v>0</v>
      </c>
    </row>
    <row r="19" spans="1:6" ht="15" x14ac:dyDescent="0.3">
      <c r="A19" s="2"/>
    </row>
    <row r="20" spans="1:6" ht="15.75" thickBot="1" x14ac:dyDescent="0.35">
      <c r="A20" s="2"/>
      <c r="B20" s="2"/>
    </row>
    <row r="21" spans="1:6" ht="29.25" customHeight="1" thickBot="1" x14ac:dyDescent="0.25">
      <c r="A21" s="921" t="s">
        <v>59</v>
      </c>
      <c r="B21" s="922">
        <f>B11+B18</f>
        <v>1613500</v>
      </c>
      <c r="C21" s="923">
        <f>C11+C18</f>
        <v>231529</v>
      </c>
      <c r="D21" s="923">
        <f>D11+D18</f>
        <v>0</v>
      </c>
      <c r="E21" s="924">
        <f>E11+E18</f>
        <v>231529</v>
      </c>
      <c r="F21" s="925">
        <f>F11+F18</f>
        <v>0</v>
      </c>
    </row>
    <row r="22" spans="1:6" ht="15" x14ac:dyDescent="0.3">
      <c r="A22" s="2"/>
      <c r="B22" s="2"/>
    </row>
    <row r="23" spans="1:6" ht="15" x14ac:dyDescent="0.3">
      <c r="A23" s="2"/>
      <c r="B23" s="2"/>
    </row>
    <row r="24" spans="1:6" ht="15" x14ac:dyDescent="0.3">
      <c r="A24" s="2"/>
      <c r="B24" s="2"/>
    </row>
    <row r="25" spans="1:6" ht="15" x14ac:dyDescent="0.3">
      <c r="A25" s="2"/>
      <c r="B25" s="2"/>
    </row>
    <row r="26" spans="1:6" ht="15" x14ac:dyDescent="0.3">
      <c r="A26" s="2"/>
      <c r="B26" s="2"/>
    </row>
    <row r="27" spans="1:6" ht="15" x14ac:dyDescent="0.3">
      <c r="A27" s="2"/>
      <c r="B27" s="2"/>
    </row>
    <row r="28" spans="1:6" ht="15" x14ac:dyDescent="0.3">
      <c r="A28" s="2"/>
      <c r="B28" s="2"/>
    </row>
    <row r="29" spans="1:6" ht="15" x14ac:dyDescent="0.3">
      <c r="A29" s="2"/>
      <c r="B29" s="2"/>
    </row>
    <row r="30" spans="1:6" ht="15" x14ac:dyDescent="0.3">
      <c r="A30" s="2"/>
      <c r="B30" s="2"/>
    </row>
    <row r="31" spans="1:6" ht="15" x14ac:dyDescent="0.3">
      <c r="A31" s="2"/>
      <c r="B31" s="2"/>
    </row>
    <row r="32" spans="1:6" ht="15" x14ac:dyDescent="0.3">
      <c r="A32" s="2"/>
      <c r="B32" s="2"/>
    </row>
    <row r="33" spans="1:2" ht="15" x14ac:dyDescent="0.3">
      <c r="A33" s="2"/>
      <c r="B33" s="2"/>
    </row>
    <row r="34" spans="1:2" ht="15" x14ac:dyDescent="0.3">
      <c r="A34" s="2"/>
      <c r="B34" s="2"/>
    </row>
    <row r="35" spans="1:2" ht="15" x14ac:dyDescent="0.3">
      <c r="A35" s="2"/>
      <c r="B35" s="2"/>
    </row>
    <row r="36" spans="1:2" ht="15" x14ac:dyDescent="0.3">
      <c r="A36" s="2"/>
      <c r="B36" s="2"/>
    </row>
    <row r="37" spans="1:2" ht="15" x14ac:dyDescent="0.3">
      <c r="A37" s="2"/>
      <c r="B37" s="2"/>
    </row>
    <row r="38" spans="1:2" ht="15" x14ac:dyDescent="0.3">
      <c r="A38" s="2"/>
      <c r="B38" s="2"/>
    </row>
    <row r="39" spans="1:2" ht="15" x14ac:dyDescent="0.3">
      <c r="A39" s="2"/>
      <c r="B39" s="2"/>
    </row>
    <row r="40" spans="1:2" ht="15" x14ac:dyDescent="0.3">
      <c r="A40" s="2"/>
      <c r="B40" s="2"/>
    </row>
    <row r="41" spans="1:2" ht="15" x14ac:dyDescent="0.3">
      <c r="A41" s="2"/>
      <c r="B41" s="2"/>
    </row>
    <row r="42" spans="1:2" ht="15" x14ac:dyDescent="0.3">
      <c r="A42" s="2"/>
      <c r="B42" s="2"/>
    </row>
    <row r="43" spans="1:2" ht="15" x14ac:dyDescent="0.3">
      <c r="A43" s="2"/>
      <c r="B43" s="2"/>
    </row>
    <row r="44" spans="1:2" ht="15" x14ac:dyDescent="0.3">
      <c r="A44" s="2"/>
      <c r="B44" s="2"/>
    </row>
    <row r="45" spans="1:2" ht="15" x14ac:dyDescent="0.3">
      <c r="A45" s="2"/>
      <c r="B45" s="2"/>
    </row>
    <row r="46" spans="1:2" ht="15" x14ac:dyDescent="0.3">
      <c r="A46" s="2"/>
      <c r="B46" s="2"/>
    </row>
    <row r="47" spans="1:2" ht="15" x14ac:dyDescent="0.3">
      <c r="A47" s="2"/>
      <c r="B47" s="2"/>
    </row>
    <row r="48" spans="1:2" ht="15" x14ac:dyDescent="0.3">
      <c r="A48" s="2"/>
      <c r="B48" s="2"/>
    </row>
    <row r="49" spans="1:2" ht="15" x14ac:dyDescent="0.3">
      <c r="A49" s="2"/>
      <c r="B49" s="2"/>
    </row>
    <row r="50" spans="1:2" ht="15" x14ac:dyDescent="0.3">
      <c r="A50" s="2"/>
      <c r="B50" s="2"/>
    </row>
    <row r="51" spans="1:2" ht="15" x14ac:dyDescent="0.3">
      <c r="A51" s="2"/>
      <c r="B51" s="2"/>
    </row>
    <row r="52" spans="1:2" ht="15" x14ac:dyDescent="0.3">
      <c r="A52" s="2"/>
      <c r="B52" s="2"/>
    </row>
    <row r="53" spans="1:2" ht="15" x14ac:dyDescent="0.3">
      <c r="A53" s="2"/>
      <c r="B53" s="2"/>
    </row>
    <row r="54" spans="1:2" ht="15" x14ac:dyDescent="0.3">
      <c r="A54" s="2"/>
      <c r="B54" s="2"/>
    </row>
    <row r="55" spans="1:2" ht="15" x14ac:dyDescent="0.3">
      <c r="A55" s="2"/>
      <c r="B55" s="2"/>
    </row>
    <row r="56" spans="1:2" ht="15" x14ac:dyDescent="0.3">
      <c r="A56" s="2"/>
      <c r="B56" s="2"/>
    </row>
    <row r="57" spans="1:2" ht="15" x14ac:dyDescent="0.3">
      <c r="A57" s="2"/>
      <c r="B57" s="2"/>
    </row>
    <row r="58" spans="1:2" ht="15" x14ac:dyDescent="0.3">
      <c r="A58" s="2"/>
      <c r="B58" s="2"/>
    </row>
    <row r="59" spans="1:2" ht="15" x14ac:dyDescent="0.3">
      <c r="A59" s="2"/>
      <c r="B59" s="2"/>
    </row>
    <row r="60" spans="1:2" ht="15" x14ac:dyDescent="0.3">
      <c r="A60" s="2"/>
      <c r="B60" s="2"/>
    </row>
    <row r="61" spans="1:2" ht="15" x14ac:dyDescent="0.3">
      <c r="A61" s="2"/>
      <c r="B61" s="2"/>
    </row>
    <row r="62" spans="1:2" ht="15" x14ac:dyDescent="0.3">
      <c r="A62" s="2"/>
      <c r="B62" s="2"/>
    </row>
    <row r="63" spans="1:2" ht="15" x14ac:dyDescent="0.3">
      <c r="A63" s="2"/>
      <c r="B63" s="2"/>
    </row>
    <row r="64" spans="1:2" ht="15" x14ac:dyDescent="0.3">
      <c r="A64" s="2"/>
      <c r="B64" s="2"/>
    </row>
    <row r="65" spans="1:2" ht="15" x14ac:dyDescent="0.3">
      <c r="A65" s="2"/>
      <c r="B65" s="2"/>
    </row>
    <row r="66" spans="1:2" ht="15" x14ac:dyDescent="0.3">
      <c r="A66" s="2"/>
      <c r="B66" s="2"/>
    </row>
    <row r="67" spans="1:2" ht="15" x14ac:dyDescent="0.3">
      <c r="A67" s="2"/>
      <c r="B67" s="2"/>
    </row>
    <row r="68" spans="1:2" ht="15" x14ac:dyDescent="0.3">
      <c r="A68" s="2"/>
      <c r="B68" s="2"/>
    </row>
    <row r="69" spans="1:2" ht="15" x14ac:dyDescent="0.3">
      <c r="A69" s="2"/>
      <c r="B69" s="2"/>
    </row>
    <row r="70" spans="1:2" ht="15" x14ac:dyDescent="0.3">
      <c r="A70" s="2"/>
      <c r="B70" s="2"/>
    </row>
    <row r="71" spans="1:2" ht="15" x14ac:dyDescent="0.3">
      <c r="A71" s="2"/>
      <c r="B71" s="2"/>
    </row>
    <row r="72" spans="1:2" ht="15" x14ac:dyDescent="0.3">
      <c r="A72" s="2"/>
      <c r="B72" s="2"/>
    </row>
    <row r="73" spans="1:2" ht="15" x14ac:dyDescent="0.3">
      <c r="A73" s="2"/>
      <c r="B73" s="2"/>
    </row>
    <row r="74" spans="1:2" ht="15" x14ac:dyDescent="0.3">
      <c r="A74" s="2"/>
      <c r="B74" s="2"/>
    </row>
    <row r="75" spans="1:2" ht="15" x14ac:dyDescent="0.3">
      <c r="A75" s="2"/>
      <c r="B75" s="2"/>
    </row>
    <row r="76" spans="1:2" ht="15" x14ac:dyDescent="0.3">
      <c r="A76" s="2"/>
      <c r="B76" s="2"/>
    </row>
    <row r="77" spans="1:2" ht="15" x14ac:dyDescent="0.3">
      <c r="A77" s="2"/>
      <c r="B77" s="2"/>
    </row>
    <row r="78" spans="1:2" ht="15" x14ac:dyDescent="0.3">
      <c r="A78" s="2"/>
      <c r="B78" s="2"/>
    </row>
    <row r="79" spans="1:2" ht="15" x14ac:dyDescent="0.3">
      <c r="A79" s="2"/>
      <c r="B79" s="2"/>
    </row>
    <row r="80" spans="1:2" ht="15" x14ac:dyDescent="0.3">
      <c r="A80" s="2"/>
      <c r="B80" s="2"/>
    </row>
    <row r="81" spans="1:2" ht="15" x14ac:dyDescent="0.3">
      <c r="A81" s="2"/>
      <c r="B81" s="2"/>
    </row>
    <row r="82" spans="1:2" ht="15" x14ac:dyDescent="0.3">
      <c r="A82" s="2"/>
      <c r="B82" s="2"/>
    </row>
    <row r="83" spans="1:2" ht="15" x14ac:dyDescent="0.3">
      <c r="A83" s="2"/>
      <c r="B83" s="2"/>
    </row>
    <row r="84" spans="1:2" ht="15" x14ac:dyDescent="0.3">
      <c r="A84" s="2"/>
      <c r="B84" s="2"/>
    </row>
    <row r="85" spans="1:2" ht="15" x14ac:dyDescent="0.3">
      <c r="A85" s="2"/>
      <c r="B85" s="2"/>
    </row>
    <row r="86" spans="1:2" ht="15" x14ac:dyDescent="0.3">
      <c r="A86" s="2"/>
      <c r="B86" s="2"/>
    </row>
    <row r="87" spans="1:2" ht="15" x14ac:dyDescent="0.3">
      <c r="A87" s="2"/>
      <c r="B87" s="2"/>
    </row>
    <row r="88" spans="1:2" ht="15" x14ac:dyDescent="0.3">
      <c r="A88" s="2"/>
      <c r="B88" s="2"/>
    </row>
    <row r="89" spans="1:2" ht="15" x14ac:dyDescent="0.3">
      <c r="A89" s="2"/>
      <c r="B89" s="2"/>
    </row>
    <row r="90" spans="1:2" ht="15" x14ac:dyDescent="0.3">
      <c r="A90" s="2"/>
      <c r="B90" s="2"/>
    </row>
    <row r="91" spans="1:2" ht="15" x14ac:dyDescent="0.3">
      <c r="A91" s="2"/>
      <c r="B91" s="2"/>
    </row>
    <row r="92" spans="1:2" ht="15" x14ac:dyDescent="0.3">
      <c r="A92" s="2"/>
      <c r="B92" s="2"/>
    </row>
    <row r="93" spans="1:2" ht="15" x14ac:dyDescent="0.3">
      <c r="A93" s="2"/>
      <c r="B93" s="2"/>
    </row>
    <row r="94" spans="1:2" ht="15" x14ac:dyDescent="0.3">
      <c r="A94" s="2"/>
      <c r="B94" s="2"/>
    </row>
    <row r="95" spans="1:2" ht="15" x14ac:dyDescent="0.3">
      <c r="A95" s="2"/>
      <c r="B95" s="2"/>
    </row>
    <row r="96" spans="1:2" ht="15" x14ac:dyDescent="0.3">
      <c r="A96" s="2"/>
      <c r="B96" s="2"/>
    </row>
    <row r="97" spans="1:2" ht="15" x14ac:dyDescent="0.3">
      <c r="A97" s="2"/>
      <c r="B97" s="2"/>
    </row>
    <row r="98" spans="1:2" ht="15" x14ac:dyDescent="0.3">
      <c r="A98" s="2"/>
      <c r="B98" s="2"/>
    </row>
    <row r="99" spans="1:2" ht="15" x14ac:dyDescent="0.3">
      <c r="A99" s="2"/>
      <c r="B99" s="2"/>
    </row>
    <row r="100" spans="1:2" ht="15" x14ac:dyDescent="0.3">
      <c r="A100" s="2"/>
      <c r="B100" s="2"/>
    </row>
    <row r="101" spans="1:2" ht="15" x14ac:dyDescent="0.3">
      <c r="A101" s="2"/>
      <c r="B101" s="2"/>
    </row>
    <row r="102" spans="1:2" ht="15" x14ac:dyDescent="0.3">
      <c r="A102" s="2"/>
      <c r="B102" s="2"/>
    </row>
    <row r="103" spans="1:2" ht="15" x14ac:dyDescent="0.3">
      <c r="A103" s="2"/>
      <c r="B103" s="2"/>
    </row>
    <row r="104" spans="1:2" ht="15" x14ac:dyDescent="0.3">
      <c r="A104" s="2"/>
      <c r="B104" s="2"/>
    </row>
    <row r="105" spans="1:2" ht="15" x14ac:dyDescent="0.3">
      <c r="A105" s="2"/>
      <c r="B105" s="2"/>
    </row>
    <row r="106" spans="1:2" ht="15" x14ac:dyDescent="0.3">
      <c r="A106" s="2"/>
      <c r="B106" s="2"/>
    </row>
    <row r="107" spans="1:2" ht="15" x14ac:dyDescent="0.3">
      <c r="A107" s="2"/>
      <c r="B107" s="2"/>
    </row>
    <row r="108" spans="1:2" ht="15" x14ac:dyDescent="0.3">
      <c r="A108" s="2"/>
      <c r="B108" s="2"/>
    </row>
    <row r="109" spans="1:2" ht="15" x14ac:dyDescent="0.3">
      <c r="A109" s="2"/>
      <c r="B109" s="2"/>
    </row>
    <row r="110" spans="1:2" ht="15" x14ac:dyDescent="0.3">
      <c r="A110" s="2"/>
      <c r="B110" s="2"/>
    </row>
    <row r="111" spans="1:2" ht="15" x14ac:dyDescent="0.3">
      <c r="A111" s="2"/>
      <c r="B111" s="2"/>
    </row>
    <row r="112" spans="1:2" ht="15" x14ac:dyDescent="0.3">
      <c r="A112" s="2"/>
      <c r="B112" s="2"/>
    </row>
    <row r="113" spans="1:2" ht="15" x14ac:dyDescent="0.3">
      <c r="A113" s="2"/>
      <c r="B113" s="2"/>
    </row>
    <row r="114" spans="1:2" ht="15" x14ac:dyDescent="0.3">
      <c r="A114" s="2"/>
      <c r="B114" s="2"/>
    </row>
    <row r="115" spans="1:2" ht="15" x14ac:dyDescent="0.3">
      <c r="A115" s="2"/>
      <c r="B115" s="2"/>
    </row>
    <row r="116" spans="1:2" ht="15" x14ac:dyDescent="0.3">
      <c r="A116" s="2"/>
      <c r="B116" s="2"/>
    </row>
    <row r="117" spans="1:2" ht="15" x14ac:dyDescent="0.3">
      <c r="A117" s="2"/>
      <c r="B117" s="2"/>
    </row>
    <row r="118" spans="1:2" ht="15" x14ac:dyDescent="0.3">
      <c r="A118" s="2"/>
      <c r="B118" s="2"/>
    </row>
    <row r="119" spans="1:2" ht="15" x14ac:dyDescent="0.3">
      <c r="A119" s="2"/>
      <c r="B119" s="2"/>
    </row>
    <row r="120" spans="1:2" ht="15" x14ac:dyDescent="0.3">
      <c r="A120" s="2"/>
      <c r="B120" s="2"/>
    </row>
    <row r="121" spans="1:2" ht="15" x14ac:dyDescent="0.3">
      <c r="A121" s="2"/>
      <c r="B121" s="2"/>
    </row>
    <row r="122" spans="1:2" ht="15" x14ac:dyDescent="0.3">
      <c r="A122" s="2"/>
      <c r="B122" s="2"/>
    </row>
    <row r="123" spans="1:2" ht="15" x14ac:dyDescent="0.3">
      <c r="A123" s="2"/>
      <c r="B123" s="2"/>
    </row>
    <row r="124" spans="1:2" ht="15" x14ac:dyDescent="0.3">
      <c r="A124" s="2"/>
      <c r="B124" s="2"/>
    </row>
    <row r="125" spans="1:2" ht="15" x14ac:dyDescent="0.3">
      <c r="A125" s="2"/>
      <c r="B125" s="2"/>
    </row>
    <row r="126" spans="1:2" ht="15" x14ac:dyDescent="0.3">
      <c r="A126" s="2"/>
      <c r="B126" s="2"/>
    </row>
    <row r="127" spans="1:2" ht="15" x14ac:dyDescent="0.3">
      <c r="A127" s="2"/>
      <c r="B127" s="2"/>
    </row>
    <row r="128" spans="1:2" ht="15" x14ac:dyDescent="0.3">
      <c r="A128" s="2"/>
      <c r="B128" s="2"/>
    </row>
    <row r="129" spans="1:2" ht="15" x14ac:dyDescent="0.3">
      <c r="A129" s="2"/>
      <c r="B129" s="2"/>
    </row>
    <row r="130" spans="1:2" ht="15" x14ac:dyDescent="0.3">
      <c r="A130" s="2"/>
      <c r="B130" s="2"/>
    </row>
    <row r="131" spans="1:2" ht="15" x14ac:dyDescent="0.3">
      <c r="A131" s="2"/>
      <c r="B131" s="2"/>
    </row>
  </sheetData>
  <mergeCells count="1">
    <mergeCell ref="A1:C1"/>
  </mergeCells>
  <phoneticPr fontId="9" type="noConversion"/>
  <pageMargins left="0.75" right="0.75" top="1" bottom="1" header="0.5" footer="0.5"/>
  <pageSetup paperSize="8" scale="93" orientation="landscape" r:id="rId1"/>
  <headerFooter alignWithMargins="0">
    <oddHeader>&amp;R&amp;"Bookman Old Style,Normál"6. MELLÉKLET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J111"/>
  <sheetViews>
    <sheetView topLeftCell="A34" workbookViewId="0">
      <selection activeCell="I51" sqref="I51"/>
    </sheetView>
  </sheetViews>
  <sheetFormatPr defaultRowHeight="12.75" x14ac:dyDescent="0.2"/>
  <cols>
    <col min="1" max="1" width="85.140625" customWidth="1"/>
    <col min="2" max="2" width="22.140625" customWidth="1"/>
    <col min="3" max="3" width="17.42578125" customWidth="1"/>
    <col min="4" max="4" width="14.5703125" customWidth="1"/>
    <col min="5" max="5" width="16.28515625" customWidth="1"/>
    <col min="6" max="6" width="18.42578125" customWidth="1"/>
    <col min="253" max="253" width="85.140625" customWidth="1"/>
    <col min="254" max="256" width="22.140625" customWidth="1"/>
    <col min="257" max="259" width="14.5703125" customWidth="1"/>
    <col min="260" max="260" width="14" customWidth="1"/>
    <col min="261" max="261" width="10.140625" bestFit="1" customWidth="1"/>
    <col min="509" max="509" width="85.140625" customWidth="1"/>
    <col min="510" max="512" width="22.140625" customWidth="1"/>
    <col min="513" max="515" width="14.5703125" customWidth="1"/>
    <col min="516" max="516" width="14" customWidth="1"/>
    <col min="517" max="517" width="10.140625" bestFit="1" customWidth="1"/>
    <col min="765" max="765" width="85.140625" customWidth="1"/>
    <col min="766" max="768" width="22.140625" customWidth="1"/>
    <col min="769" max="771" width="14.5703125" customWidth="1"/>
    <col min="772" max="772" width="14" customWidth="1"/>
    <col min="773" max="773" width="10.140625" bestFit="1" customWidth="1"/>
    <col min="1021" max="1021" width="85.140625" customWidth="1"/>
    <col min="1022" max="1024" width="22.140625" customWidth="1"/>
    <col min="1025" max="1027" width="14.5703125" customWidth="1"/>
    <col min="1028" max="1028" width="14" customWidth="1"/>
    <col min="1029" max="1029" width="10.140625" bestFit="1" customWidth="1"/>
    <col min="1277" max="1277" width="85.140625" customWidth="1"/>
    <col min="1278" max="1280" width="22.140625" customWidth="1"/>
    <col min="1281" max="1283" width="14.5703125" customWidth="1"/>
    <col min="1284" max="1284" width="14" customWidth="1"/>
    <col min="1285" max="1285" width="10.140625" bestFit="1" customWidth="1"/>
    <col min="1533" max="1533" width="85.140625" customWidth="1"/>
    <col min="1534" max="1536" width="22.140625" customWidth="1"/>
    <col min="1537" max="1539" width="14.5703125" customWidth="1"/>
    <col min="1540" max="1540" width="14" customWidth="1"/>
    <col min="1541" max="1541" width="10.140625" bestFit="1" customWidth="1"/>
    <col min="1789" max="1789" width="85.140625" customWidth="1"/>
    <col min="1790" max="1792" width="22.140625" customWidth="1"/>
    <col min="1793" max="1795" width="14.5703125" customWidth="1"/>
    <col min="1796" max="1796" width="14" customWidth="1"/>
    <col min="1797" max="1797" width="10.140625" bestFit="1" customWidth="1"/>
    <col min="2045" max="2045" width="85.140625" customWidth="1"/>
    <col min="2046" max="2048" width="22.140625" customWidth="1"/>
    <col min="2049" max="2051" width="14.5703125" customWidth="1"/>
    <col min="2052" max="2052" width="14" customWidth="1"/>
    <col min="2053" max="2053" width="10.140625" bestFit="1" customWidth="1"/>
    <col min="2301" max="2301" width="85.140625" customWidth="1"/>
    <col min="2302" max="2304" width="22.140625" customWidth="1"/>
    <col min="2305" max="2307" width="14.5703125" customWidth="1"/>
    <col min="2308" max="2308" width="14" customWidth="1"/>
    <col min="2309" max="2309" width="10.140625" bestFit="1" customWidth="1"/>
    <col min="2557" max="2557" width="85.140625" customWidth="1"/>
    <col min="2558" max="2560" width="22.140625" customWidth="1"/>
    <col min="2561" max="2563" width="14.5703125" customWidth="1"/>
    <col min="2564" max="2564" width="14" customWidth="1"/>
    <col min="2565" max="2565" width="10.140625" bestFit="1" customWidth="1"/>
    <col min="2813" max="2813" width="85.140625" customWidth="1"/>
    <col min="2814" max="2816" width="22.140625" customWidth="1"/>
    <col min="2817" max="2819" width="14.5703125" customWidth="1"/>
    <col min="2820" max="2820" width="14" customWidth="1"/>
    <col min="2821" max="2821" width="10.140625" bestFit="1" customWidth="1"/>
    <col min="3069" max="3069" width="85.140625" customWidth="1"/>
    <col min="3070" max="3072" width="22.140625" customWidth="1"/>
    <col min="3073" max="3075" width="14.5703125" customWidth="1"/>
    <col min="3076" max="3076" width="14" customWidth="1"/>
    <col min="3077" max="3077" width="10.140625" bestFit="1" customWidth="1"/>
    <col min="3325" max="3325" width="85.140625" customWidth="1"/>
    <col min="3326" max="3328" width="22.140625" customWidth="1"/>
    <col min="3329" max="3331" width="14.5703125" customWidth="1"/>
    <col min="3332" max="3332" width="14" customWidth="1"/>
    <col min="3333" max="3333" width="10.140625" bestFit="1" customWidth="1"/>
    <col min="3581" max="3581" width="85.140625" customWidth="1"/>
    <col min="3582" max="3584" width="22.140625" customWidth="1"/>
    <col min="3585" max="3587" width="14.5703125" customWidth="1"/>
    <col min="3588" max="3588" width="14" customWidth="1"/>
    <col min="3589" max="3589" width="10.140625" bestFit="1" customWidth="1"/>
    <col min="3837" max="3837" width="85.140625" customWidth="1"/>
    <col min="3838" max="3840" width="22.140625" customWidth="1"/>
    <col min="3841" max="3843" width="14.5703125" customWidth="1"/>
    <col min="3844" max="3844" width="14" customWidth="1"/>
    <col min="3845" max="3845" width="10.140625" bestFit="1" customWidth="1"/>
    <col min="4093" max="4093" width="85.140625" customWidth="1"/>
    <col min="4094" max="4096" width="22.140625" customWidth="1"/>
    <col min="4097" max="4099" width="14.5703125" customWidth="1"/>
    <col min="4100" max="4100" width="14" customWidth="1"/>
    <col min="4101" max="4101" width="10.140625" bestFit="1" customWidth="1"/>
    <col min="4349" max="4349" width="85.140625" customWidth="1"/>
    <col min="4350" max="4352" width="22.140625" customWidth="1"/>
    <col min="4353" max="4355" width="14.5703125" customWidth="1"/>
    <col min="4356" max="4356" width="14" customWidth="1"/>
    <col min="4357" max="4357" width="10.140625" bestFit="1" customWidth="1"/>
    <col min="4605" max="4605" width="85.140625" customWidth="1"/>
    <col min="4606" max="4608" width="22.140625" customWidth="1"/>
    <col min="4609" max="4611" width="14.5703125" customWidth="1"/>
    <col min="4612" max="4612" width="14" customWidth="1"/>
    <col min="4613" max="4613" width="10.140625" bestFit="1" customWidth="1"/>
    <col min="4861" max="4861" width="85.140625" customWidth="1"/>
    <col min="4862" max="4864" width="22.140625" customWidth="1"/>
    <col min="4865" max="4867" width="14.5703125" customWidth="1"/>
    <col min="4868" max="4868" width="14" customWidth="1"/>
    <col min="4869" max="4869" width="10.140625" bestFit="1" customWidth="1"/>
    <col min="5117" max="5117" width="85.140625" customWidth="1"/>
    <col min="5118" max="5120" width="22.140625" customWidth="1"/>
    <col min="5121" max="5123" width="14.5703125" customWidth="1"/>
    <col min="5124" max="5124" width="14" customWidth="1"/>
    <col min="5125" max="5125" width="10.140625" bestFit="1" customWidth="1"/>
    <col min="5373" max="5373" width="85.140625" customWidth="1"/>
    <col min="5374" max="5376" width="22.140625" customWidth="1"/>
    <col min="5377" max="5379" width="14.5703125" customWidth="1"/>
    <col min="5380" max="5380" width="14" customWidth="1"/>
    <col min="5381" max="5381" width="10.140625" bestFit="1" customWidth="1"/>
    <col min="5629" max="5629" width="85.140625" customWidth="1"/>
    <col min="5630" max="5632" width="22.140625" customWidth="1"/>
    <col min="5633" max="5635" width="14.5703125" customWidth="1"/>
    <col min="5636" max="5636" width="14" customWidth="1"/>
    <col min="5637" max="5637" width="10.140625" bestFit="1" customWidth="1"/>
    <col min="5885" max="5885" width="85.140625" customWidth="1"/>
    <col min="5886" max="5888" width="22.140625" customWidth="1"/>
    <col min="5889" max="5891" width="14.5703125" customWidth="1"/>
    <col min="5892" max="5892" width="14" customWidth="1"/>
    <col min="5893" max="5893" width="10.140625" bestFit="1" customWidth="1"/>
    <col min="6141" max="6141" width="85.140625" customWidth="1"/>
    <col min="6142" max="6144" width="22.140625" customWidth="1"/>
    <col min="6145" max="6147" width="14.5703125" customWidth="1"/>
    <col min="6148" max="6148" width="14" customWidth="1"/>
    <col min="6149" max="6149" width="10.140625" bestFit="1" customWidth="1"/>
    <col min="6397" max="6397" width="85.140625" customWidth="1"/>
    <col min="6398" max="6400" width="22.140625" customWidth="1"/>
    <col min="6401" max="6403" width="14.5703125" customWidth="1"/>
    <col min="6404" max="6404" width="14" customWidth="1"/>
    <col min="6405" max="6405" width="10.140625" bestFit="1" customWidth="1"/>
    <col min="6653" max="6653" width="85.140625" customWidth="1"/>
    <col min="6654" max="6656" width="22.140625" customWidth="1"/>
    <col min="6657" max="6659" width="14.5703125" customWidth="1"/>
    <col min="6660" max="6660" width="14" customWidth="1"/>
    <col min="6661" max="6661" width="10.140625" bestFit="1" customWidth="1"/>
    <col min="6909" max="6909" width="85.140625" customWidth="1"/>
    <col min="6910" max="6912" width="22.140625" customWidth="1"/>
    <col min="6913" max="6915" width="14.5703125" customWidth="1"/>
    <col min="6916" max="6916" width="14" customWidth="1"/>
    <col min="6917" max="6917" width="10.140625" bestFit="1" customWidth="1"/>
    <col min="7165" max="7165" width="85.140625" customWidth="1"/>
    <col min="7166" max="7168" width="22.140625" customWidth="1"/>
    <col min="7169" max="7171" width="14.5703125" customWidth="1"/>
    <col min="7172" max="7172" width="14" customWidth="1"/>
    <col min="7173" max="7173" width="10.140625" bestFit="1" customWidth="1"/>
    <col min="7421" max="7421" width="85.140625" customWidth="1"/>
    <col min="7422" max="7424" width="22.140625" customWidth="1"/>
    <col min="7425" max="7427" width="14.5703125" customWidth="1"/>
    <col min="7428" max="7428" width="14" customWidth="1"/>
    <col min="7429" max="7429" width="10.140625" bestFit="1" customWidth="1"/>
    <col min="7677" max="7677" width="85.140625" customWidth="1"/>
    <col min="7678" max="7680" width="22.140625" customWidth="1"/>
    <col min="7681" max="7683" width="14.5703125" customWidth="1"/>
    <col min="7684" max="7684" width="14" customWidth="1"/>
    <col min="7685" max="7685" width="10.140625" bestFit="1" customWidth="1"/>
    <col min="7933" max="7933" width="85.140625" customWidth="1"/>
    <col min="7934" max="7936" width="22.140625" customWidth="1"/>
    <col min="7937" max="7939" width="14.5703125" customWidth="1"/>
    <col min="7940" max="7940" width="14" customWidth="1"/>
    <col min="7941" max="7941" width="10.140625" bestFit="1" customWidth="1"/>
    <col min="8189" max="8189" width="85.140625" customWidth="1"/>
    <col min="8190" max="8192" width="22.140625" customWidth="1"/>
    <col min="8193" max="8195" width="14.5703125" customWidth="1"/>
    <col min="8196" max="8196" width="14" customWidth="1"/>
    <col min="8197" max="8197" width="10.140625" bestFit="1" customWidth="1"/>
    <col min="8445" max="8445" width="85.140625" customWidth="1"/>
    <col min="8446" max="8448" width="22.140625" customWidth="1"/>
    <col min="8449" max="8451" width="14.5703125" customWidth="1"/>
    <col min="8452" max="8452" width="14" customWidth="1"/>
    <col min="8453" max="8453" width="10.140625" bestFit="1" customWidth="1"/>
    <col min="8701" max="8701" width="85.140625" customWidth="1"/>
    <col min="8702" max="8704" width="22.140625" customWidth="1"/>
    <col min="8705" max="8707" width="14.5703125" customWidth="1"/>
    <col min="8708" max="8708" width="14" customWidth="1"/>
    <col min="8709" max="8709" width="10.140625" bestFit="1" customWidth="1"/>
    <col min="8957" max="8957" width="85.140625" customWidth="1"/>
    <col min="8958" max="8960" width="22.140625" customWidth="1"/>
    <col min="8961" max="8963" width="14.5703125" customWidth="1"/>
    <col min="8964" max="8964" width="14" customWidth="1"/>
    <col min="8965" max="8965" width="10.140625" bestFit="1" customWidth="1"/>
    <col min="9213" max="9213" width="85.140625" customWidth="1"/>
    <col min="9214" max="9216" width="22.140625" customWidth="1"/>
    <col min="9217" max="9219" width="14.5703125" customWidth="1"/>
    <col min="9220" max="9220" width="14" customWidth="1"/>
    <col min="9221" max="9221" width="10.140625" bestFit="1" customWidth="1"/>
    <col min="9469" max="9469" width="85.140625" customWidth="1"/>
    <col min="9470" max="9472" width="22.140625" customWidth="1"/>
    <col min="9473" max="9475" width="14.5703125" customWidth="1"/>
    <col min="9476" max="9476" width="14" customWidth="1"/>
    <col min="9477" max="9477" width="10.140625" bestFit="1" customWidth="1"/>
    <col min="9725" max="9725" width="85.140625" customWidth="1"/>
    <col min="9726" max="9728" width="22.140625" customWidth="1"/>
    <col min="9729" max="9731" width="14.5703125" customWidth="1"/>
    <col min="9732" max="9732" width="14" customWidth="1"/>
    <col min="9733" max="9733" width="10.140625" bestFit="1" customWidth="1"/>
    <col min="9981" max="9981" width="85.140625" customWidth="1"/>
    <col min="9982" max="9984" width="22.140625" customWidth="1"/>
    <col min="9985" max="9987" width="14.5703125" customWidth="1"/>
    <col min="9988" max="9988" width="14" customWidth="1"/>
    <col min="9989" max="9989" width="10.140625" bestFit="1" customWidth="1"/>
    <col min="10237" max="10237" width="85.140625" customWidth="1"/>
    <col min="10238" max="10240" width="22.140625" customWidth="1"/>
    <col min="10241" max="10243" width="14.5703125" customWidth="1"/>
    <col min="10244" max="10244" width="14" customWidth="1"/>
    <col min="10245" max="10245" width="10.140625" bestFit="1" customWidth="1"/>
    <col min="10493" max="10493" width="85.140625" customWidth="1"/>
    <col min="10494" max="10496" width="22.140625" customWidth="1"/>
    <col min="10497" max="10499" width="14.5703125" customWidth="1"/>
    <col min="10500" max="10500" width="14" customWidth="1"/>
    <col min="10501" max="10501" width="10.140625" bestFit="1" customWidth="1"/>
    <col min="10749" max="10749" width="85.140625" customWidth="1"/>
    <col min="10750" max="10752" width="22.140625" customWidth="1"/>
    <col min="10753" max="10755" width="14.5703125" customWidth="1"/>
    <col min="10756" max="10756" width="14" customWidth="1"/>
    <col min="10757" max="10757" width="10.140625" bestFit="1" customWidth="1"/>
    <col min="11005" max="11005" width="85.140625" customWidth="1"/>
    <col min="11006" max="11008" width="22.140625" customWidth="1"/>
    <col min="11009" max="11011" width="14.5703125" customWidth="1"/>
    <col min="11012" max="11012" width="14" customWidth="1"/>
    <col min="11013" max="11013" width="10.140625" bestFit="1" customWidth="1"/>
    <col min="11261" max="11261" width="85.140625" customWidth="1"/>
    <col min="11262" max="11264" width="22.140625" customWidth="1"/>
    <col min="11265" max="11267" width="14.5703125" customWidth="1"/>
    <col min="11268" max="11268" width="14" customWidth="1"/>
    <col min="11269" max="11269" width="10.140625" bestFit="1" customWidth="1"/>
    <col min="11517" max="11517" width="85.140625" customWidth="1"/>
    <col min="11518" max="11520" width="22.140625" customWidth="1"/>
    <col min="11521" max="11523" width="14.5703125" customWidth="1"/>
    <col min="11524" max="11524" width="14" customWidth="1"/>
    <col min="11525" max="11525" width="10.140625" bestFit="1" customWidth="1"/>
    <col min="11773" max="11773" width="85.140625" customWidth="1"/>
    <col min="11774" max="11776" width="22.140625" customWidth="1"/>
    <col min="11777" max="11779" width="14.5703125" customWidth="1"/>
    <col min="11780" max="11780" width="14" customWidth="1"/>
    <col min="11781" max="11781" width="10.140625" bestFit="1" customWidth="1"/>
    <col min="12029" max="12029" width="85.140625" customWidth="1"/>
    <col min="12030" max="12032" width="22.140625" customWidth="1"/>
    <col min="12033" max="12035" width="14.5703125" customWidth="1"/>
    <col min="12036" max="12036" width="14" customWidth="1"/>
    <col min="12037" max="12037" width="10.140625" bestFit="1" customWidth="1"/>
    <col min="12285" max="12285" width="85.140625" customWidth="1"/>
    <col min="12286" max="12288" width="22.140625" customWidth="1"/>
    <col min="12289" max="12291" width="14.5703125" customWidth="1"/>
    <col min="12292" max="12292" width="14" customWidth="1"/>
    <col min="12293" max="12293" width="10.140625" bestFit="1" customWidth="1"/>
    <col min="12541" max="12541" width="85.140625" customWidth="1"/>
    <col min="12542" max="12544" width="22.140625" customWidth="1"/>
    <col min="12545" max="12547" width="14.5703125" customWidth="1"/>
    <col min="12548" max="12548" width="14" customWidth="1"/>
    <col min="12549" max="12549" width="10.140625" bestFit="1" customWidth="1"/>
    <col min="12797" max="12797" width="85.140625" customWidth="1"/>
    <col min="12798" max="12800" width="22.140625" customWidth="1"/>
    <col min="12801" max="12803" width="14.5703125" customWidth="1"/>
    <col min="12804" max="12804" width="14" customWidth="1"/>
    <col min="12805" max="12805" width="10.140625" bestFit="1" customWidth="1"/>
    <col min="13053" max="13053" width="85.140625" customWidth="1"/>
    <col min="13054" max="13056" width="22.140625" customWidth="1"/>
    <col min="13057" max="13059" width="14.5703125" customWidth="1"/>
    <col min="13060" max="13060" width="14" customWidth="1"/>
    <col min="13061" max="13061" width="10.140625" bestFit="1" customWidth="1"/>
    <col min="13309" max="13309" width="85.140625" customWidth="1"/>
    <col min="13310" max="13312" width="22.140625" customWidth="1"/>
    <col min="13313" max="13315" width="14.5703125" customWidth="1"/>
    <col min="13316" max="13316" width="14" customWidth="1"/>
    <col min="13317" max="13317" width="10.140625" bestFit="1" customWidth="1"/>
    <col min="13565" max="13565" width="85.140625" customWidth="1"/>
    <col min="13566" max="13568" width="22.140625" customWidth="1"/>
    <col min="13569" max="13571" width="14.5703125" customWidth="1"/>
    <col min="13572" max="13572" width="14" customWidth="1"/>
    <col min="13573" max="13573" width="10.140625" bestFit="1" customWidth="1"/>
    <col min="13821" max="13821" width="85.140625" customWidth="1"/>
    <col min="13822" max="13824" width="22.140625" customWidth="1"/>
    <col min="13825" max="13827" width="14.5703125" customWidth="1"/>
    <col min="13828" max="13828" width="14" customWidth="1"/>
    <col min="13829" max="13829" width="10.140625" bestFit="1" customWidth="1"/>
    <col min="14077" max="14077" width="85.140625" customWidth="1"/>
    <col min="14078" max="14080" width="22.140625" customWidth="1"/>
    <col min="14081" max="14083" width="14.5703125" customWidth="1"/>
    <col min="14084" max="14084" width="14" customWidth="1"/>
    <col min="14085" max="14085" width="10.140625" bestFit="1" customWidth="1"/>
    <col min="14333" max="14333" width="85.140625" customWidth="1"/>
    <col min="14334" max="14336" width="22.140625" customWidth="1"/>
    <col min="14337" max="14339" width="14.5703125" customWidth="1"/>
    <col min="14340" max="14340" width="14" customWidth="1"/>
    <col min="14341" max="14341" width="10.140625" bestFit="1" customWidth="1"/>
    <col min="14589" max="14589" width="85.140625" customWidth="1"/>
    <col min="14590" max="14592" width="22.140625" customWidth="1"/>
    <col min="14593" max="14595" width="14.5703125" customWidth="1"/>
    <col min="14596" max="14596" width="14" customWidth="1"/>
    <col min="14597" max="14597" width="10.140625" bestFit="1" customWidth="1"/>
    <col min="14845" max="14845" width="85.140625" customWidth="1"/>
    <col min="14846" max="14848" width="22.140625" customWidth="1"/>
    <col min="14849" max="14851" width="14.5703125" customWidth="1"/>
    <col min="14852" max="14852" width="14" customWidth="1"/>
    <col min="14853" max="14853" width="10.140625" bestFit="1" customWidth="1"/>
    <col min="15101" max="15101" width="85.140625" customWidth="1"/>
    <col min="15102" max="15104" width="22.140625" customWidth="1"/>
    <col min="15105" max="15107" width="14.5703125" customWidth="1"/>
    <col min="15108" max="15108" width="14" customWidth="1"/>
    <col min="15109" max="15109" width="10.140625" bestFit="1" customWidth="1"/>
    <col min="15357" max="15357" width="85.140625" customWidth="1"/>
    <col min="15358" max="15360" width="22.140625" customWidth="1"/>
    <col min="15361" max="15363" width="14.5703125" customWidth="1"/>
    <col min="15364" max="15364" width="14" customWidth="1"/>
    <col min="15365" max="15365" width="10.140625" bestFit="1" customWidth="1"/>
    <col min="15613" max="15613" width="85.140625" customWidth="1"/>
    <col min="15614" max="15616" width="22.140625" customWidth="1"/>
    <col min="15617" max="15619" width="14.5703125" customWidth="1"/>
    <col min="15620" max="15620" width="14" customWidth="1"/>
    <col min="15621" max="15621" width="10.140625" bestFit="1" customWidth="1"/>
    <col min="15869" max="15869" width="85.140625" customWidth="1"/>
    <col min="15870" max="15872" width="22.140625" customWidth="1"/>
    <col min="15873" max="15875" width="14.5703125" customWidth="1"/>
    <col min="15876" max="15876" width="14" customWidth="1"/>
    <col min="15877" max="15877" width="10.140625" bestFit="1" customWidth="1"/>
    <col min="16125" max="16125" width="85.140625" customWidth="1"/>
    <col min="16126" max="16128" width="22.140625" customWidth="1"/>
    <col min="16129" max="16131" width="14.5703125" customWidth="1"/>
    <col min="16132" max="16132" width="14" customWidth="1"/>
    <col min="16133" max="16133" width="10.140625" bestFit="1" customWidth="1"/>
  </cols>
  <sheetData>
    <row r="1" spans="1:7" ht="15.75" customHeight="1" x14ac:dyDescent="0.25">
      <c r="A1" s="1039" t="s">
        <v>136</v>
      </c>
      <c r="B1" s="1011"/>
      <c r="C1" s="1011"/>
      <c r="D1" s="1011"/>
      <c r="E1" s="1011"/>
    </row>
    <row r="2" spans="1:7" ht="13.5" customHeight="1" x14ac:dyDescent="0.25">
      <c r="A2" s="1039" t="s">
        <v>836</v>
      </c>
      <c r="B2" s="1011"/>
      <c r="C2" s="1011"/>
      <c r="D2" s="1011"/>
      <c r="E2" s="1011"/>
    </row>
    <row r="3" spans="1:7" ht="7.5" customHeight="1" thickBot="1" x14ac:dyDescent="0.35">
      <c r="A3" s="2"/>
    </row>
    <row r="4" spans="1:7" ht="60" customHeight="1" thickBot="1" x14ac:dyDescent="0.3">
      <c r="A4" s="303" t="s">
        <v>140</v>
      </c>
      <c r="B4" s="188" t="s">
        <v>837</v>
      </c>
      <c r="C4" s="187" t="s">
        <v>838</v>
      </c>
      <c r="D4" s="188" t="s">
        <v>839</v>
      </c>
      <c r="E4" s="187" t="s">
        <v>840</v>
      </c>
      <c r="F4" s="188" t="s">
        <v>841</v>
      </c>
    </row>
    <row r="5" spans="1:7" ht="15" x14ac:dyDescent="0.3">
      <c r="A5" s="427" t="s">
        <v>81</v>
      </c>
      <c r="B5" s="435"/>
      <c r="C5" s="431"/>
      <c r="D5" s="830"/>
      <c r="E5" s="837">
        <f>C5</f>
        <v>0</v>
      </c>
      <c r="F5" s="263">
        <f>D5+G7</f>
        <v>0</v>
      </c>
    </row>
    <row r="6" spans="1:7" ht="30" x14ac:dyDescent="0.3">
      <c r="A6" s="427" t="s">
        <v>82</v>
      </c>
      <c r="B6" s="436"/>
      <c r="C6" s="301"/>
      <c r="D6" s="831"/>
      <c r="E6" s="838">
        <f>C6</f>
        <v>0</v>
      </c>
      <c r="F6" s="406">
        <f>D6</f>
        <v>0</v>
      </c>
    </row>
    <row r="7" spans="1:7" ht="45" x14ac:dyDescent="0.3">
      <c r="A7" s="427" t="s">
        <v>153</v>
      </c>
      <c r="B7" s="437"/>
      <c r="C7" s="301"/>
      <c r="D7" s="831"/>
      <c r="E7" s="838">
        <f>C7</f>
        <v>0</v>
      </c>
      <c r="F7" s="406">
        <f>D7</f>
        <v>0</v>
      </c>
    </row>
    <row r="8" spans="1:7" ht="45" x14ac:dyDescent="0.3">
      <c r="A8" s="427" t="s">
        <v>412</v>
      </c>
      <c r="B8" s="437"/>
      <c r="C8" s="301"/>
      <c r="D8" s="831"/>
      <c r="E8" s="838">
        <f>C8</f>
        <v>0</v>
      </c>
      <c r="F8" s="406">
        <f>D8</f>
        <v>0</v>
      </c>
    </row>
    <row r="9" spans="1:7" ht="30" x14ac:dyDescent="0.2">
      <c r="A9" s="427" t="s">
        <v>83</v>
      </c>
      <c r="B9" s="438">
        <f>B16+B17+B18+B19+B20+B21+B22+B23+B24</f>
        <v>98185</v>
      </c>
      <c r="C9" s="302">
        <f>C10+C13+C14+C15+C16+C17+C18+C19+C20+C21+C22+C23+C24+C25</f>
        <v>101667</v>
      </c>
      <c r="D9" s="832"/>
      <c r="E9" s="839">
        <f t="shared" ref="E9:E27" si="0">C9+D9</f>
        <v>101667</v>
      </c>
      <c r="F9" s="441"/>
    </row>
    <row r="10" spans="1:7" ht="15" x14ac:dyDescent="0.3">
      <c r="A10" s="427" t="s">
        <v>142</v>
      </c>
      <c r="B10" s="437"/>
      <c r="C10" s="432"/>
      <c r="D10" s="833"/>
      <c r="E10" s="839">
        <f t="shared" si="0"/>
        <v>0</v>
      </c>
      <c r="F10" s="441"/>
    </row>
    <row r="11" spans="1:7" ht="15.75" x14ac:dyDescent="0.3">
      <c r="A11" s="428" t="s">
        <v>505</v>
      </c>
      <c r="B11" s="439"/>
      <c r="C11" s="433">
        <v>0</v>
      </c>
      <c r="D11" s="833"/>
      <c r="E11" s="839">
        <f t="shared" si="0"/>
        <v>0</v>
      </c>
      <c r="F11" s="441"/>
    </row>
    <row r="12" spans="1:7" ht="15.75" x14ac:dyDescent="0.3">
      <c r="A12" s="428" t="s">
        <v>506</v>
      </c>
      <c r="B12" s="439"/>
      <c r="C12" s="433">
        <v>0</v>
      </c>
      <c r="D12" s="833"/>
      <c r="E12" s="839">
        <f t="shared" si="0"/>
        <v>0</v>
      </c>
      <c r="F12" s="441"/>
    </row>
    <row r="13" spans="1:7" ht="15.75" x14ac:dyDescent="0.3">
      <c r="A13" s="428" t="s">
        <v>507</v>
      </c>
      <c r="B13" s="439">
        <v>0</v>
      </c>
      <c r="C13" s="433">
        <v>0</v>
      </c>
      <c r="D13" s="833"/>
      <c r="E13" s="839">
        <f t="shared" si="0"/>
        <v>0</v>
      </c>
      <c r="F13" s="441"/>
    </row>
    <row r="14" spans="1:7" ht="15.75" x14ac:dyDescent="0.3">
      <c r="A14" s="428" t="s">
        <v>127</v>
      </c>
      <c r="B14" s="439">
        <v>0</v>
      </c>
      <c r="C14" s="433">
        <v>0</v>
      </c>
      <c r="D14" s="833"/>
      <c r="E14" s="839">
        <f t="shared" si="0"/>
        <v>0</v>
      </c>
      <c r="F14" s="441"/>
    </row>
    <row r="15" spans="1:7" ht="15.75" x14ac:dyDescent="0.3">
      <c r="A15" s="428" t="s">
        <v>152</v>
      </c>
      <c r="B15" s="439"/>
      <c r="C15" s="433">
        <v>0</v>
      </c>
      <c r="D15" s="833"/>
      <c r="E15" s="839">
        <f t="shared" si="0"/>
        <v>0</v>
      </c>
      <c r="F15" s="441">
        <v>0</v>
      </c>
    </row>
    <row r="16" spans="1:7" ht="15.75" x14ac:dyDescent="0.3">
      <c r="A16" s="429" t="s">
        <v>508</v>
      </c>
      <c r="B16" s="440">
        <v>431</v>
      </c>
      <c r="C16" s="433">
        <v>431</v>
      </c>
      <c r="D16" s="833"/>
      <c r="E16" s="839">
        <f t="shared" si="0"/>
        <v>431</v>
      </c>
      <c r="F16" s="441">
        <v>48</v>
      </c>
      <c r="G16" s="752"/>
    </row>
    <row r="17" spans="1:7" ht="16.5" customHeight="1" x14ac:dyDescent="0.3">
      <c r="A17" s="429" t="s">
        <v>465</v>
      </c>
      <c r="B17" s="440">
        <v>1509</v>
      </c>
      <c r="C17" s="433">
        <v>1509</v>
      </c>
      <c r="D17" s="833"/>
      <c r="E17" s="839">
        <f t="shared" si="0"/>
        <v>1509</v>
      </c>
      <c r="F17" s="441">
        <v>1032</v>
      </c>
      <c r="G17" s="752"/>
    </row>
    <row r="18" spans="1:7" ht="15.75" x14ac:dyDescent="0.3">
      <c r="A18" s="429" t="s">
        <v>548</v>
      </c>
      <c r="B18" s="440">
        <v>12316</v>
      </c>
      <c r="C18" s="434">
        <v>11411</v>
      </c>
      <c r="D18" s="834"/>
      <c r="E18" s="839">
        <f t="shared" si="0"/>
        <v>11411</v>
      </c>
      <c r="F18" s="441">
        <v>9767</v>
      </c>
      <c r="G18" s="752"/>
    </row>
    <row r="19" spans="1:7" ht="15.75" x14ac:dyDescent="0.3">
      <c r="A19" s="429" t="s">
        <v>549</v>
      </c>
      <c r="B19" s="440">
        <v>12978</v>
      </c>
      <c r="C19" s="424">
        <v>11883</v>
      </c>
      <c r="D19" s="831"/>
      <c r="E19" s="839">
        <f t="shared" si="0"/>
        <v>11883</v>
      </c>
      <c r="F19" s="441">
        <v>454</v>
      </c>
      <c r="G19" s="752"/>
    </row>
    <row r="20" spans="1:7" ht="15.75" x14ac:dyDescent="0.3">
      <c r="A20" s="429" t="s">
        <v>550</v>
      </c>
      <c r="B20" s="440">
        <v>13058</v>
      </c>
      <c r="C20" s="425">
        <v>11962</v>
      </c>
      <c r="D20" s="835"/>
      <c r="E20" s="839">
        <f t="shared" si="0"/>
        <v>11962</v>
      </c>
      <c r="F20" s="441">
        <v>472</v>
      </c>
      <c r="G20" s="752"/>
    </row>
    <row r="21" spans="1:7" ht="15.75" x14ac:dyDescent="0.3">
      <c r="A21" s="429" t="s">
        <v>656</v>
      </c>
      <c r="B21" s="423">
        <v>13090</v>
      </c>
      <c r="C21" s="425">
        <v>11994</v>
      </c>
      <c r="D21" s="835"/>
      <c r="E21" s="839">
        <f t="shared" si="0"/>
        <v>11994</v>
      </c>
      <c r="F21" s="441">
        <v>410</v>
      </c>
      <c r="G21" s="752"/>
    </row>
    <row r="22" spans="1:7" ht="15.75" x14ac:dyDescent="0.3">
      <c r="A22" s="748" t="s">
        <v>735</v>
      </c>
      <c r="B22" s="749">
        <v>13112</v>
      </c>
      <c r="C22" s="750">
        <v>12017</v>
      </c>
      <c r="D22" s="835"/>
      <c r="E22" s="840">
        <f t="shared" si="0"/>
        <v>12017</v>
      </c>
      <c r="F22" s="751">
        <v>337</v>
      </c>
      <c r="G22" s="752"/>
    </row>
    <row r="23" spans="1:7" ht="15.75" x14ac:dyDescent="0.3">
      <c r="A23" s="800" t="s">
        <v>764</v>
      </c>
      <c r="B23" s="801">
        <v>14086</v>
      </c>
      <c r="C23" s="802">
        <v>12472</v>
      </c>
      <c r="D23" s="835"/>
      <c r="E23" s="840">
        <f t="shared" si="0"/>
        <v>12472</v>
      </c>
      <c r="F23" s="803">
        <v>766</v>
      </c>
      <c r="G23" s="752"/>
    </row>
    <row r="24" spans="1:7" ht="15.75" x14ac:dyDescent="0.3">
      <c r="A24" s="822" t="s">
        <v>846</v>
      </c>
      <c r="B24" s="823">
        <v>17605</v>
      </c>
      <c r="C24" s="824">
        <v>12880</v>
      </c>
      <c r="D24" s="835"/>
      <c r="E24" s="840">
        <f t="shared" si="0"/>
        <v>12880</v>
      </c>
      <c r="F24" s="825">
        <v>1174</v>
      </c>
      <c r="G24" s="752"/>
    </row>
    <row r="25" spans="1:7" ht="15.75" x14ac:dyDescent="0.3">
      <c r="A25" s="826" t="s">
        <v>847</v>
      </c>
      <c r="B25" s="827">
        <v>18653</v>
      </c>
      <c r="C25" s="828">
        <v>15108</v>
      </c>
      <c r="D25" s="835"/>
      <c r="E25" s="840">
        <f t="shared" si="0"/>
        <v>15108</v>
      </c>
      <c r="F25" s="829">
        <v>3402</v>
      </c>
      <c r="G25" s="752"/>
    </row>
    <row r="26" spans="1:7" ht="15.75" x14ac:dyDescent="0.3">
      <c r="A26" s="926" t="s">
        <v>848</v>
      </c>
      <c r="B26" s="927">
        <v>0</v>
      </c>
      <c r="C26" s="928">
        <v>18654</v>
      </c>
      <c r="D26" s="929"/>
      <c r="E26" s="930">
        <f t="shared" si="0"/>
        <v>18654</v>
      </c>
      <c r="F26" s="931">
        <v>18654</v>
      </c>
      <c r="G26" s="752"/>
    </row>
    <row r="27" spans="1:7" ht="16.5" thickBot="1" x14ac:dyDescent="0.3">
      <c r="A27" s="430" t="s">
        <v>84</v>
      </c>
      <c r="B27" s="426">
        <f>SUM(B11:B26)</f>
        <v>116838</v>
      </c>
      <c r="C27" s="426">
        <f>SUM(C11:C26)</f>
        <v>120321</v>
      </c>
      <c r="D27" s="836">
        <f t="shared" ref="D27" si="1">SUM(D11:D23)</f>
        <v>0</v>
      </c>
      <c r="E27" s="841">
        <f t="shared" si="0"/>
        <v>120321</v>
      </c>
      <c r="F27" s="442">
        <f>SUM(F15:F26)</f>
        <v>36516</v>
      </c>
    </row>
    <row r="28" spans="1:7" ht="39.75" customHeight="1" x14ac:dyDescent="0.3">
      <c r="A28" s="2"/>
      <c r="B28" s="2"/>
      <c r="C28" s="34"/>
      <c r="D28" s="34"/>
    </row>
    <row r="29" spans="1:7" ht="15" x14ac:dyDescent="0.3">
      <c r="A29" s="2"/>
      <c r="B29" s="2"/>
      <c r="C29" s="34"/>
      <c r="D29" s="34"/>
    </row>
    <row r="30" spans="1:7" ht="15.75" thickBot="1" x14ac:dyDescent="0.35">
      <c r="A30" s="2"/>
      <c r="B30" s="2"/>
      <c r="C30" s="34"/>
      <c r="D30" s="34"/>
    </row>
    <row r="31" spans="1:7" ht="55.9" customHeight="1" x14ac:dyDescent="0.25">
      <c r="A31" s="303" t="s">
        <v>140</v>
      </c>
      <c r="B31" s="704" t="s">
        <v>842</v>
      </c>
      <c r="C31" s="712" t="s">
        <v>838</v>
      </c>
      <c r="D31" s="712" t="s">
        <v>843</v>
      </c>
      <c r="E31" s="712" t="s">
        <v>844</v>
      </c>
      <c r="F31" s="712" t="s">
        <v>845</v>
      </c>
    </row>
    <row r="32" spans="1:7" ht="48.75" customHeight="1" x14ac:dyDescent="0.3">
      <c r="A32" s="698" t="s">
        <v>85</v>
      </c>
      <c r="B32" s="705"/>
      <c r="C32" s="709"/>
      <c r="D32" s="709"/>
      <c r="E32" s="713">
        <f t="shared" ref="E32:E40" si="2">C32</f>
        <v>0</v>
      </c>
      <c r="F32" s="713">
        <f t="shared" ref="F32:F40" si="3">D32</f>
        <v>0</v>
      </c>
    </row>
    <row r="33" spans="1:10" ht="30" x14ac:dyDescent="0.3">
      <c r="A33" s="699" t="s">
        <v>86</v>
      </c>
      <c r="B33" s="705"/>
      <c r="C33" s="706"/>
      <c r="D33" s="706"/>
      <c r="E33" s="713">
        <f t="shared" si="2"/>
        <v>0</v>
      </c>
      <c r="F33" s="713">
        <f t="shared" si="3"/>
        <v>0</v>
      </c>
    </row>
    <row r="34" spans="1:10" ht="45" x14ac:dyDescent="0.3">
      <c r="A34" s="699" t="s">
        <v>413</v>
      </c>
      <c r="B34" s="706"/>
      <c r="C34" s="706"/>
      <c r="D34" s="706"/>
      <c r="E34" s="713">
        <f t="shared" si="2"/>
        <v>0</v>
      </c>
      <c r="F34" s="713">
        <f t="shared" si="3"/>
        <v>0</v>
      </c>
    </row>
    <row r="35" spans="1:10" ht="30" x14ac:dyDescent="0.3">
      <c r="A35" s="699" t="s">
        <v>154</v>
      </c>
      <c r="B35" s="706">
        <v>0</v>
      </c>
      <c r="C35" s="706"/>
      <c r="D35" s="706"/>
      <c r="E35" s="713">
        <f t="shared" si="2"/>
        <v>0</v>
      </c>
      <c r="F35" s="713">
        <f t="shared" si="3"/>
        <v>0</v>
      </c>
    </row>
    <row r="36" spans="1:10" ht="15" x14ac:dyDescent="0.3">
      <c r="A36" s="700" t="s">
        <v>128</v>
      </c>
      <c r="B36" s="706">
        <v>0</v>
      </c>
      <c r="C36" s="706"/>
      <c r="D36" s="706"/>
      <c r="E36" s="713">
        <f t="shared" si="2"/>
        <v>0</v>
      </c>
      <c r="F36" s="713">
        <f t="shared" si="3"/>
        <v>0</v>
      </c>
    </row>
    <row r="37" spans="1:10" ht="15" x14ac:dyDescent="0.2">
      <c r="A37" s="700" t="s">
        <v>129</v>
      </c>
      <c r="B37" s="707">
        <v>0</v>
      </c>
      <c r="C37" s="711">
        <f>C32+C33+C34+C35+C36</f>
        <v>0</v>
      </c>
      <c r="D37" s="711"/>
      <c r="E37" s="713">
        <f t="shared" si="2"/>
        <v>0</v>
      </c>
      <c r="F37" s="713">
        <f t="shared" si="3"/>
        <v>0</v>
      </c>
    </row>
    <row r="38" spans="1:10" ht="45" x14ac:dyDescent="0.2">
      <c r="A38" s="699" t="s">
        <v>414</v>
      </c>
      <c r="B38" s="708">
        <v>0</v>
      </c>
      <c r="C38" s="711"/>
      <c r="D38" s="711"/>
      <c r="E38" s="713">
        <f t="shared" si="2"/>
        <v>0</v>
      </c>
      <c r="F38" s="713">
        <f t="shared" si="3"/>
        <v>0</v>
      </c>
    </row>
    <row r="39" spans="1:10" ht="15" x14ac:dyDescent="0.3">
      <c r="A39" s="699" t="s">
        <v>87</v>
      </c>
      <c r="B39" s="706">
        <v>0</v>
      </c>
      <c r="C39" s="706"/>
      <c r="D39" s="706"/>
      <c r="E39" s="713">
        <f t="shared" si="2"/>
        <v>0</v>
      </c>
      <c r="F39" s="713">
        <f t="shared" si="3"/>
        <v>0</v>
      </c>
    </row>
    <row r="40" spans="1:10" ht="15" x14ac:dyDescent="0.3">
      <c r="A40" s="699" t="s">
        <v>88</v>
      </c>
      <c r="B40" s="706">
        <v>0</v>
      </c>
      <c r="C40" s="706"/>
      <c r="D40" s="706"/>
      <c r="E40" s="713">
        <f t="shared" si="2"/>
        <v>0</v>
      </c>
      <c r="F40" s="713">
        <f t="shared" si="3"/>
        <v>0</v>
      </c>
    </row>
    <row r="41" spans="1:10" ht="30" x14ac:dyDescent="0.2">
      <c r="A41" s="699" t="s">
        <v>89</v>
      </c>
      <c r="B41" s="709">
        <f>B45+B46+B47+B48+B49+B50+B51+B52</f>
        <v>277975</v>
      </c>
      <c r="C41" s="709">
        <f>C45+C46+C47+C48+C49+C50+C51+C52</f>
        <v>252735</v>
      </c>
      <c r="D41" s="709"/>
      <c r="E41" s="709">
        <f t="shared" ref="E41:E56" si="4">C41+D41</f>
        <v>252735</v>
      </c>
      <c r="F41" s="709"/>
    </row>
    <row r="42" spans="1:10" ht="15" x14ac:dyDescent="0.3">
      <c r="A42" s="701" t="s">
        <v>657</v>
      </c>
      <c r="B42" s="706">
        <v>0</v>
      </c>
      <c r="C42" s="706">
        <v>0</v>
      </c>
      <c r="D42" s="706"/>
      <c r="E42" s="706">
        <f t="shared" si="4"/>
        <v>0</v>
      </c>
      <c r="F42" s="706"/>
    </row>
    <row r="43" spans="1:10" ht="15.75" x14ac:dyDescent="0.3">
      <c r="A43" s="702" t="s">
        <v>506</v>
      </c>
      <c r="B43" s="706">
        <v>0</v>
      </c>
      <c r="C43" s="709">
        <v>0</v>
      </c>
      <c r="D43" s="709"/>
      <c r="E43" s="709">
        <f t="shared" si="4"/>
        <v>0</v>
      </c>
      <c r="F43" s="709"/>
    </row>
    <row r="44" spans="1:10" ht="15.75" x14ac:dyDescent="0.3">
      <c r="A44" s="702" t="s">
        <v>507</v>
      </c>
      <c r="B44" s="706">
        <v>0</v>
      </c>
      <c r="C44" s="709">
        <v>0</v>
      </c>
      <c r="D44" s="709"/>
      <c r="E44" s="709">
        <f t="shared" si="4"/>
        <v>0</v>
      </c>
      <c r="F44" s="709"/>
    </row>
    <row r="45" spans="1:10" ht="15.75" x14ac:dyDescent="0.3">
      <c r="A45" s="702" t="s">
        <v>127</v>
      </c>
      <c r="B45" s="706">
        <v>0</v>
      </c>
      <c r="C45" s="706">
        <v>0</v>
      </c>
      <c r="D45" s="706"/>
      <c r="E45" s="709">
        <f t="shared" si="4"/>
        <v>0</v>
      </c>
      <c r="F45" s="709"/>
    </row>
    <row r="46" spans="1:10" ht="15.75" x14ac:dyDescent="0.3">
      <c r="A46" s="702" t="s">
        <v>152</v>
      </c>
      <c r="B46" s="706">
        <v>0</v>
      </c>
      <c r="C46" s="706">
        <v>0</v>
      </c>
      <c r="D46" s="706"/>
      <c r="E46" s="709">
        <f t="shared" si="4"/>
        <v>0</v>
      </c>
      <c r="F46" s="709"/>
    </row>
    <row r="47" spans="1:10" ht="15.6" customHeight="1" x14ac:dyDescent="0.3">
      <c r="A47" s="702" t="s">
        <v>415</v>
      </c>
      <c r="B47" s="706">
        <v>3928</v>
      </c>
      <c r="C47" s="706">
        <v>3928</v>
      </c>
      <c r="D47" s="706"/>
      <c r="E47" s="709">
        <f t="shared" si="4"/>
        <v>3928</v>
      </c>
      <c r="F47" s="709">
        <v>3768</v>
      </c>
    </row>
    <row r="48" spans="1:10" ht="15.75" x14ac:dyDescent="0.3">
      <c r="A48" s="702" t="s">
        <v>509</v>
      </c>
      <c r="B48" s="706">
        <v>9598</v>
      </c>
      <c r="C48" s="706">
        <v>9598</v>
      </c>
      <c r="D48" s="706"/>
      <c r="E48" s="709">
        <f t="shared" si="4"/>
        <v>9598</v>
      </c>
      <c r="F48" s="709">
        <v>3561</v>
      </c>
      <c r="J48" s="35"/>
    </row>
    <row r="49" spans="1:6" ht="15.75" x14ac:dyDescent="0.3">
      <c r="A49" s="702" t="s">
        <v>548</v>
      </c>
      <c r="B49" s="706">
        <v>63203</v>
      </c>
      <c r="C49" s="706">
        <v>58679</v>
      </c>
      <c r="D49" s="706"/>
      <c r="E49" s="709">
        <f t="shared" si="4"/>
        <v>58679</v>
      </c>
      <c r="F49" s="709">
        <v>17591</v>
      </c>
    </row>
    <row r="50" spans="1:6" ht="15.75" x14ac:dyDescent="0.3">
      <c r="A50" s="702" t="s">
        <v>549</v>
      </c>
      <c r="B50" s="706">
        <v>67026</v>
      </c>
      <c r="C50" s="706">
        <v>60122</v>
      </c>
      <c r="D50" s="706"/>
      <c r="E50" s="709">
        <f t="shared" si="4"/>
        <v>60122</v>
      </c>
      <c r="F50" s="709">
        <v>1592</v>
      </c>
    </row>
    <row r="51" spans="1:6" ht="15.75" x14ac:dyDescent="0.3">
      <c r="A51" s="702" t="s">
        <v>550</v>
      </c>
      <c r="B51" s="706">
        <v>67110</v>
      </c>
      <c r="C51" s="706">
        <v>60204</v>
      </c>
      <c r="D51" s="706"/>
      <c r="E51" s="709">
        <f t="shared" si="4"/>
        <v>60204</v>
      </c>
      <c r="F51" s="709">
        <v>1674</v>
      </c>
    </row>
    <row r="52" spans="1:6" ht="15.75" x14ac:dyDescent="0.3">
      <c r="A52" s="702" t="s">
        <v>656</v>
      </c>
      <c r="B52" s="706">
        <v>67110</v>
      </c>
      <c r="C52" s="706">
        <v>60204</v>
      </c>
      <c r="D52" s="706"/>
      <c r="E52" s="709">
        <f t="shared" si="4"/>
        <v>60204</v>
      </c>
      <c r="F52" s="709">
        <v>1673</v>
      </c>
    </row>
    <row r="53" spans="1:6" ht="15" x14ac:dyDescent="0.3">
      <c r="A53" s="699" t="s">
        <v>90</v>
      </c>
      <c r="B53" s="706">
        <v>0</v>
      </c>
      <c r="C53" s="706"/>
      <c r="D53" s="706"/>
      <c r="E53" s="709">
        <f t="shared" si="4"/>
        <v>0</v>
      </c>
      <c r="F53" s="709"/>
    </row>
    <row r="54" spans="1:6" ht="30" x14ac:dyDescent="0.3">
      <c r="A54" s="699" t="s">
        <v>91</v>
      </c>
      <c r="B54" s="706">
        <v>0</v>
      </c>
      <c r="C54" s="706"/>
      <c r="D54" s="706"/>
      <c r="E54" s="709">
        <f t="shared" si="4"/>
        <v>0</v>
      </c>
      <c r="F54" s="709"/>
    </row>
    <row r="55" spans="1:6" ht="30" x14ac:dyDescent="0.3">
      <c r="A55" s="699" t="s">
        <v>92</v>
      </c>
      <c r="B55" s="706">
        <v>0</v>
      </c>
      <c r="C55" s="706"/>
      <c r="D55" s="706"/>
      <c r="E55" s="709">
        <f t="shared" si="4"/>
        <v>0</v>
      </c>
      <c r="F55" s="709"/>
    </row>
    <row r="56" spans="1:6" ht="16.5" thickBot="1" x14ac:dyDescent="0.25">
      <c r="A56" s="703" t="s">
        <v>93</v>
      </c>
      <c r="B56" s="710">
        <f>B41+B53+B54+B55</f>
        <v>277975</v>
      </c>
      <c r="C56" s="710">
        <f>SUM(C42:C55)</f>
        <v>252735</v>
      </c>
      <c r="D56" s="710"/>
      <c r="E56" s="714">
        <f t="shared" si="4"/>
        <v>252735</v>
      </c>
      <c r="F56" s="714">
        <f>SUM(F43:F52)</f>
        <v>29859</v>
      </c>
    </row>
    <row r="57" spans="1:6" ht="15" x14ac:dyDescent="0.3">
      <c r="A57" s="2"/>
      <c r="B57" s="2"/>
      <c r="C57" s="2"/>
      <c r="D57" s="2"/>
      <c r="E57" s="443"/>
      <c r="F57" s="54"/>
    </row>
    <row r="58" spans="1:6" ht="15" x14ac:dyDescent="0.3">
      <c r="A58" s="2"/>
      <c r="B58" s="34"/>
      <c r="C58" s="2"/>
      <c r="D58" s="2"/>
      <c r="E58" s="2"/>
      <c r="F58" s="54"/>
    </row>
    <row r="59" spans="1:6" ht="15" x14ac:dyDescent="0.3">
      <c r="A59" s="2"/>
      <c r="B59" s="34"/>
      <c r="C59" s="2"/>
      <c r="D59" s="2"/>
      <c r="E59" s="2"/>
    </row>
    <row r="60" spans="1:6" ht="15" x14ac:dyDescent="0.3">
      <c r="A60" s="2"/>
      <c r="B60" s="34"/>
      <c r="C60" s="2"/>
      <c r="D60" s="2"/>
      <c r="E60" s="2"/>
    </row>
    <row r="61" spans="1:6" ht="15" x14ac:dyDescent="0.3">
      <c r="A61" s="2"/>
      <c r="B61" s="34"/>
      <c r="C61" s="2"/>
      <c r="D61" s="2"/>
      <c r="E61" s="2"/>
    </row>
    <row r="62" spans="1:6" ht="15" x14ac:dyDescent="0.3">
      <c r="A62" s="2"/>
      <c r="B62" s="34"/>
      <c r="C62" s="2"/>
      <c r="D62" s="2"/>
      <c r="E62" s="2"/>
    </row>
    <row r="63" spans="1:6" ht="15" x14ac:dyDescent="0.3">
      <c r="A63" s="2"/>
      <c r="B63" s="34"/>
      <c r="C63" s="2"/>
      <c r="D63" s="2"/>
      <c r="E63" s="2"/>
    </row>
    <row r="64" spans="1:6" ht="15" x14ac:dyDescent="0.3">
      <c r="A64" s="2"/>
      <c r="B64" s="34"/>
      <c r="C64" s="2"/>
      <c r="D64" s="2"/>
      <c r="E64" s="2"/>
    </row>
    <row r="65" spans="1:5" ht="15" x14ac:dyDescent="0.3">
      <c r="A65" s="2"/>
      <c r="B65" s="34"/>
      <c r="C65" s="2"/>
      <c r="D65" s="2"/>
      <c r="E65" s="2"/>
    </row>
    <row r="66" spans="1:5" ht="15" x14ac:dyDescent="0.3">
      <c r="A66" s="2"/>
      <c r="B66" s="34"/>
      <c r="C66" s="2"/>
      <c r="D66" s="2"/>
      <c r="E66" s="2"/>
    </row>
    <row r="67" spans="1:5" ht="15" x14ac:dyDescent="0.3">
      <c r="A67" s="2"/>
      <c r="B67" s="34"/>
      <c r="C67" s="2"/>
      <c r="D67" s="2"/>
      <c r="E67" s="2"/>
    </row>
    <row r="68" spans="1:5" ht="15" x14ac:dyDescent="0.3">
      <c r="A68" s="2"/>
      <c r="B68" s="34"/>
      <c r="C68" s="2"/>
      <c r="D68" s="2"/>
      <c r="E68" s="2"/>
    </row>
    <row r="69" spans="1:5" ht="15" x14ac:dyDescent="0.3">
      <c r="A69" s="2"/>
      <c r="B69" s="34"/>
      <c r="C69" s="2"/>
      <c r="D69" s="2"/>
      <c r="E69" s="2"/>
    </row>
    <row r="70" spans="1:5" ht="15" x14ac:dyDescent="0.3">
      <c r="A70" s="2"/>
      <c r="B70" s="34"/>
      <c r="C70" s="2"/>
      <c r="D70" s="2"/>
      <c r="E70" s="2"/>
    </row>
    <row r="71" spans="1:5" ht="15" x14ac:dyDescent="0.3">
      <c r="A71" s="2"/>
      <c r="B71" s="34"/>
      <c r="C71" s="2"/>
      <c r="D71" s="2"/>
      <c r="E71" s="2"/>
    </row>
    <row r="72" spans="1:5" ht="15" x14ac:dyDescent="0.3">
      <c r="A72" s="2"/>
      <c r="B72" s="34"/>
      <c r="C72" s="2"/>
      <c r="D72" s="2"/>
      <c r="E72" s="2"/>
    </row>
    <row r="73" spans="1:5" ht="15" x14ac:dyDescent="0.3">
      <c r="A73" s="2"/>
      <c r="B73" s="34"/>
      <c r="C73" s="2"/>
      <c r="D73" s="2"/>
      <c r="E73" s="2"/>
    </row>
    <row r="74" spans="1:5" ht="15" x14ac:dyDescent="0.3">
      <c r="A74" s="2"/>
      <c r="B74" s="34"/>
      <c r="C74" s="2"/>
      <c r="D74" s="2"/>
      <c r="E74" s="2"/>
    </row>
    <row r="75" spans="1:5" ht="15" x14ac:dyDescent="0.3">
      <c r="A75" s="2"/>
      <c r="B75" s="34"/>
      <c r="C75" s="2"/>
      <c r="D75" s="2"/>
      <c r="E75" s="2"/>
    </row>
    <row r="76" spans="1:5" ht="15" x14ac:dyDescent="0.3">
      <c r="A76" s="2"/>
      <c r="B76" s="34"/>
      <c r="C76" s="2"/>
      <c r="D76" s="2"/>
      <c r="E76" s="2"/>
    </row>
    <row r="77" spans="1:5" ht="15" x14ac:dyDescent="0.3">
      <c r="A77" s="2"/>
      <c r="B77" s="34"/>
      <c r="C77" s="2"/>
      <c r="D77" s="2"/>
      <c r="E77" s="2"/>
    </row>
    <row r="78" spans="1:5" ht="15" x14ac:dyDescent="0.3">
      <c r="A78" s="2"/>
      <c r="B78" s="34"/>
      <c r="C78" s="2"/>
      <c r="D78" s="2"/>
      <c r="E78" s="2"/>
    </row>
    <row r="79" spans="1:5" ht="15" x14ac:dyDescent="0.3">
      <c r="A79" s="2"/>
      <c r="B79" s="34"/>
      <c r="C79" s="2"/>
      <c r="D79" s="2"/>
      <c r="E79" s="2"/>
    </row>
    <row r="80" spans="1:5" ht="15" x14ac:dyDescent="0.3">
      <c r="A80" s="2"/>
      <c r="B80" s="34"/>
      <c r="C80" s="2"/>
      <c r="D80" s="2"/>
      <c r="E80" s="2"/>
    </row>
    <row r="81" spans="1:5" ht="15" x14ac:dyDescent="0.3">
      <c r="A81" s="2"/>
      <c r="B81" s="34"/>
      <c r="C81" s="2"/>
      <c r="D81" s="2"/>
      <c r="E81" s="2"/>
    </row>
    <row r="82" spans="1:5" ht="15" x14ac:dyDescent="0.3">
      <c r="A82" s="2"/>
      <c r="B82" s="34"/>
      <c r="C82" s="2"/>
      <c r="D82" s="2"/>
      <c r="E82" s="2"/>
    </row>
    <row r="83" spans="1:5" ht="15" x14ac:dyDescent="0.3">
      <c r="A83" s="2"/>
      <c r="B83" s="34"/>
      <c r="C83" s="2"/>
      <c r="D83" s="2"/>
      <c r="E83" s="2"/>
    </row>
    <row r="84" spans="1:5" ht="15" x14ac:dyDescent="0.3">
      <c r="A84" s="2"/>
      <c r="B84" s="34"/>
      <c r="C84" s="2"/>
      <c r="D84" s="2"/>
      <c r="E84" s="2"/>
    </row>
    <row r="85" spans="1:5" ht="15" x14ac:dyDescent="0.3">
      <c r="A85" s="2"/>
      <c r="B85" s="34"/>
      <c r="C85" s="2"/>
      <c r="D85" s="2"/>
      <c r="E85" s="2"/>
    </row>
    <row r="86" spans="1:5" ht="15" x14ac:dyDescent="0.3">
      <c r="A86" s="2"/>
      <c r="B86" s="34"/>
      <c r="C86" s="2"/>
      <c r="D86" s="2"/>
      <c r="E86" s="2"/>
    </row>
    <row r="87" spans="1:5" ht="15" x14ac:dyDescent="0.3">
      <c r="A87" s="2"/>
      <c r="B87" s="34"/>
      <c r="C87" s="2"/>
      <c r="D87" s="2"/>
      <c r="E87" s="2"/>
    </row>
    <row r="88" spans="1:5" ht="15" x14ac:dyDescent="0.3">
      <c r="A88" s="2"/>
      <c r="B88" s="34"/>
      <c r="C88" s="2"/>
      <c r="D88" s="2"/>
      <c r="E88" s="2"/>
    </row>
    <row r="89" spans="1:5" ht="15" x14ac:dyDescent="0.3">
      <c r="A89" s="2"/>
      <c r="B89" s="34"/>
      <c r="C89" s="2"/>
      <c r="D89" s="2"/>
      <c r="E89" s="2"/>
    </row>
    <row r="90" spans="1:5" ht="15" x14ac:dyDescent="0.3">
      <c r="A90" s="2"/>
      <c r="B90" s="34"/>
      <c r="C90" s="2"/>
      <c r="D90" s="2"/>
      <c r="E90" s="2"/>
    </row>
    <row r="91" spans="1:5" ht="15" x14ac:dyDescent="0.3">
      <c r="A91" s="2"/>
      <c r="B91" s="34"/>
      <c r="C91" s="2"/>
      <c r="D91" s="2"/>
      <c r="E91" s="2"/>
    </row>
    <row r="92" spans="1:5" ht="15" x14ac:dyDescent="0.3">
      <c r="A92" s="2"/>
      <c r="B92" s="34"/>
      <c r="C92" s="2"/>
      <c r="D92" s="2"/>
      <c r="E92" s="2"/>
    </row>
    <row r="93" spans="1:5" x14ac:dyDescent="0.2">
      <c r="B93" s="35"/>
    </row>
    <row r="94" spans="1:5" x14ac:dyDescent="0.2">
      <c r="B94" s="35"/>
    </row>
    <row r="95" spans="1:5" x14ac:dyDescent="0.2">
      <c r="B95" s="35"/>
    </row>
    <row r="96" spans="1:5" x14ac:dyDescent="0.2">
      <c r="B96" s="35"/>
    </row>
    <row r="97" spans="2:2" x14ac:dyDescent="0.2">
      <c r="B97" s="35"/>
    </row>
    <row r="98" spans="2:2" x14ac:dyDescent="0.2">
      <c r="B98" s="35"/>
    </row>
    <row r="99" spans="2:2" x14ac:dyDescent="0.2">
      <c r="B99" s="35"/>
    </row>
    <row r="100" spans="2:2" x14ac:dyDescent="0.2">
      <c r="B100" s="35"/>
    </row>
    <row r="101" spans="2:2" x14ac:dyDescent="0.2">
      <c r="B101" s="35"/>
    </row>
    <row r="102" spans="2:2" x14ac:dyDescent="0.2">
      <c r="B102" s="35"/>
    </row>
    <row r="103" spans="2:2" x14ac:dyDescent="0.2">
      <c r="B103" s="35"/>
    </row>
    <row r="104" spans="2:2" x14ac:dyDescent="0.2">
      <c r="B104" s="35"/>
    </row>
    <row r="105" spans="2:2" x14ac:dyDescent="0.2">
      <c r="B105" s="35"/>
    </row>
    <row r="106" spans="2:2" x14ac:dyDescent="0.2">
      <c r="B106" s="35"/>
    </row>
    <row r="107" spans="2:2" x14ac:dyDescent="0.2">
      <c r="B107" s="35"/>
    </row>
    <row r="108" spans="2:2" x14ac:dyDescent="0.2">
      <c r="B108" s="35"/>
    </row>
    <row r="109" spans="2:2" x14ac:dyDescent="0.2">
      <c r="B109" s="35"/>
    </row>
    <row r="110" spans="2:2" x14ac:dyDescent="0.2">
      <c r="B110" s="35"/>
    </row>
    <row r="111" spans="2:2" x14ac:dyDescent="0.2">
      <c r="B111" s="35"/>
    </row>
  </sheetData>
  <mergeCells count="2">
    <mergeCell ref="A1:E1"/>
    <mergeCell ref="A2:E2"/>
  </mergeCells>
  <phoneticPr fontId="9" type="noConversion"/>
  <pageMargins left="0.75" right="0.75" top="1" bottom="1" header="0.5" footer="0.5"/>
  <pageSetup paperSize="8" scale="95" orientation="portrait" r:id="rId1"/>
  <headerFooter alignWithMargins="0">
    <oddHeader>&amp;R&amp;"Bookman Old Style,Normál"7. MELLÉKLET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F116"/>
  <sheetViews>
    <sheetView workbookViewId="0">
      <selection activeCell="F17" sqref="F17"/>
    </sheetView>
  </sheetViews>
  <sheetFormatPr defaultRowHeight="12.75" x14ac:dyDescent="0.2"/>
  <cols>
    <col min="1" max="1" width="86.5703125" customWidth="1"/>
    <col min="2" max="2" width="19.7109375" customWidth="1"/>
    <col min="3" max="3" width="19.42578125" customWidth="1"/>
    <col min="4" max="4" width="16.85546875" customWidth="1"/>
    <col min="5" max="5" width="21.140625" customWidth="1"/>
    <col min="6" max="6" width="27.28515625" customWidth="1"/>
    <col min="255" max="255" width="86.5703125" customWidth="1"/>
    <col min="256" max="256" width="21.5703125" customWidth="1"/>
    <col min="257" max="261" width="30.5703125" customWidth="1"/>
    <col min="511" max="511" width="86.5703125" customWidth="1"/>
    <col min="512" max="512" width="21.5703125" customWidth="1"/>
    <col min="513" max="517" width="30.5703125" customWidth="1"/>
    <col min="767" max="767" width="86.5703125" customWidth="1"/>
    <col min="768" max="768" width="21.5703125" customWidth="1"/>
    <col min="769" max="773" width="30.5703125" customWidth="1"/>
    <col min="1023" max="1023" width="86.5703125" customWidth="1"/>
    <col min="1024" max="1024" width="21.5703125" customWidth="1"/>
    <col min="1025" max="1029" width="30.5703125" customWidth="1"/>
    <col min="1279" max="1279" width="86.5703125" customWidth="1"/>
    <col min="1280" max="1280" width="21.5703125" customWidth="1"/>
    <col min="1281" max="1285" width="30.5703125" customWidth="1"/>
    <col min="1535" max="1535" width="86.5703125" customWidth="1"/>
    <col min="1536" max="1536" width="21.5703125" customWidth="1"/>
    <col min="1537" max="1541" width="30.5703125" customWidth="1"/>
    <col min="1791" max="1791" width="86.5703125" customWidth="1"/>
    <col min="1792" max="1792" width="21.5703125" customWidth="1"/>
    <col min="1793" max="1797" width="30.5703125" customWidth="1"/>
    <col min="2047" max="2047" width="86.5703125" customWidth="1"/>
    <col min="2048" max="2048" width="21.5703125" customWidth="1"/>
    <col min="2049" max="2053" width="30.5703125" customWidth="1"/>
    <col min="2303" max="2303" width="86.5703125" customWidth="1"/>
    <col min="2304" max="2304" width="21.5703125" customWidth="1"/>
    <col min="2305" max="2309" width="30.5703125" customWidth="1"/>
    <col min="2559" max="2559" width="86.5703125" customWidth="1"/>
    <col min="2560" max="2560" width="21.5703125" customWidth="1"/>
    <col min="2561" max="2565" width="30.5703125" customWidth="1"/>
    <col min="2815" max="2815" width="86.5703125" customWidth="1"/>
    <col min="2816" max="2816" width="21.5703125" customWidth="1"/>
    <col min="2817" max="2821" width="30.5703125" customWidth="1"/>
    <col min="3071" max="3071" width="86.5703125" customWidth="1"/>
    <col min="3072" max="3072" width="21.5703125" customWidth="1"/>
    <col min="3073" max="3077" width="30.5703125" customWidth="1"/>
    <col min="3327" max="3327" width="86.5703125" customWidth="1"/>
    <col min="3328" max="3328" width="21.5703125" customWidth="1"/>
    <col min="3329" max="3333" width="30.5703125" customWidth="1"/>
    <col min="3583" max="3583" width="86.5703125" customWidth="1"/>
    <col min="3584" max="3584" width="21.5703125" customWidth="1"/>
    <col min="3585" max="3589" width="30.5703125" customWidth="1"/>
    <col min="3839" max="3839" width="86.5703125" customWidth="1"/>
    <col min="3840" max="3840" width="21.5703125" customWidth="1"/>
    <col min="3841" max="3845" width="30.5703125" customWidth="1"/>
    <col min="4095" max="4095" width="86.5703125" customWidth="1"/>
    <col min="4096" max="4096" width="21.5703125" customWidth="1"/>
    <col min="4097" max="4101" width="30.5703125" customWidth="1"/>
    <col min="4351" max="4351" width="86.5703125" customWidth="1"/>
    <col min="4352" max="4352" width="21.5703125" customWidth="1"/>
    <col min="4353" max="4357" width="30.5703125" customWidth="1"/>
    <col min="4607" max="4607" width="86.5703125" customWidth="1"/>
    <col min="4608" max="4608" width="21.5703125" customWidth="1"/>
    <col min="4609" max="4613" width="30.5703125" customWidth="1"/>
    <col min="4863" max="4863" width="86.5703125" customWidth="1"/>
    <col min="4864" max="4864" width="21.5703125" customWidth="1"/>
    <col min="4865" max="4869" width="30.5703125" customWidth="1"/>
    <col min="5119" max="5119" width="86.5703125" customWidth="1"/>
    <col min="5120" max="5120" width="21.5703125" customWidth="1"/>
    <col min="5121" max="5125" width="30.5703125" customWidth="1"/>
    <col min="5375" max="5375" width="86.5703125" customWidth="1"/>
    <col min="5376" max="5376" width="21.5703125" customWidth="1"/>
    <col min="5377" max="5381" width="30.5703125" customWidth="1"/>
    <col min="5631" max="5631" width="86.5703125" customWidth="1"/>
    <col min="5632" max="5632" width="21.5703125" customWidth="1"/>
    <col min="5633" max="5637" width="30.5703125" customWidth="1"/>
    <col min="5887" max="5887" width="86.5703125" customWidth="1"/>
    <col min="5888" max="5888" width="21.5703125" customWidth="1"/>
    <col min="5889" max="5893" width="30.5703125" customWidth="1"/>
    <col min="6143" max="6143" width="86.5703125" customWidth="1"/>
    <col min="6144" max="6144" width="21.5703125" customWidth="1"/>
    <col min="6145" max="6149" width="30.5703125" customWidth="1"/>
    <col min="6399" max="6399" width="86.5703125" customWidth="1"/>
    <col min="6400" max="6400" width="21.5703125" customWidth="1"/>
    <col min="6401" max="6405" width="30.5703125" customWidth="1"/>
    <col min="6655" max="6655" width="86.5703125" customWidth="1"/>
    <col min="6656" max="6656" width="21.5703125" customWidth="1"/>
    <col min="6657" max="6661" width="30.5703125" customWidth="1"/>
    <col min="6911" max="6911" width="86.5703125" customWidth="1"/>
    <col min="6912" max="6912" width="21.5703125" customWidth="1"/>
    <col min="6913" max="6917" width="30.5703125" customWidth="1"/>
    <col min="7167" max="7167" width="86.5703125" customWidth="1"/>
    <col min="7168" max="7168" width="21.5703125" customWidth="1"/>
    <col min="7169" max="7173" width="30.5703125" customWidth="1"/>
    <col min="7423" max="7423" width="86.5703125" customWidth="1"/>
    <col min="7424" max="7424" width="21.5703125" customWidth="1"/>
    <col min="7425" max="7429" width="30.5703125" customWidth="1"/>
    <col min="7679" max="7679" width="86.5703125" customWidth="1"/>
    <col min="7680" max="7680" width="21.5703125" customWidth="1"/>
    <col min="7681" max="7685" width="30.5703125" customWidth="1"/>
    <col min="7935" max="7935" width="86.5703125" customWidth="1"/>
    <col min="7936" max="7936" width="21.5703125" customWidth="1"/>
    <col min="7937" max="7941" width="30.5703125" customWidth="1"/>
    <col min="8191" max="8191" width="86.5703125" customWidth="1"/>
    <col min="8192" max="8192" width="21.5703125" customWidth="1"/>
    <col min="8193" max="8197" width="30.5703125" customWidth="1"/>
    <col min="8447" max="8447" width="86.5703125" customWidth="1"/>
    <col min="8448" max="8448" width="21.5703125" customWidth="1"/>
    <col min="8449" max="8453" width="30.5703125" customWidth="1"/>
    <col min="8703" max="8703" width="86.5703125" customWidth="1"/>
    <col min="8704" max="8704" width="21.5703125" customWidth="1"/>
    <col min="8705" max="8709" width="30.5703125" customWidth="1"/>
    <col min="8959" max="8959" width="86.5703125" customWidth="1"/>
    <col min="8960" max="8960" width="21.5703125" customWidth="1"/>
    <col min="8961" max="8965" width="30.5703125" customWidth="1"/>
    <col min="9215" max="9215" width="86.5703125" customWidth="1"/>
    <col min="9216" max="9216" width="21.5703125" customWidth="1"/>
    <col min="9217" max="9221" width="30.5703125" customWidth="1"/>
    <col min="9471" max="9471" width="86.5703125" customWidth="1"/>
    <col min="9472" max="9472" width="21.5703125" customWidth="1"/>
    <col min="9473" max="9477" width="30.5703125" customWidth="1"/>
    <col min="9727" max="9727" width="86.5703125" customWidth="1"/>
    <col min="9728" max="9728" width="21.5703125" customWidth="1"/>
    <col min="9729" max="9733" width="30.5703125" customWidth="1"/>
    <col min="9983" max="9983" width="86.5703125" customWidth="1"/>
    <col min="9984" max="9984" width="21.5703125" customWidth="1"/>
    <col min="9985" max="9989" width="30.5703125" customWidth="1"/>
    <col min="10239" max="10239" width="86.5703125" customWidth="1"/>
    <col min="10240" max="10240" width="21.5703125" customWidth="1"/>
    <col min="10241" max="10245" width="30.5703125" customWidth="1"/>
    <col min="10495" max="10495" width="86.5703125" customWidth="1"/>
    <col min="10496" max="10496" width="21.5703125" customWidth="1"/>
    <col min="10497" max="10501" width="30.5703125" customWidth="1"/>
    <col min="10751" max="10751" width="86.5703125" customWidth="1"/>
    <col min="10752" max="10752" width="21.5703125" customWidth="1"/>
    <col min="10753" max="10757" width="30.5703125" customWidth="1"/>
    <col min="11007" max="11007" width="86.5703125" customWidth="1"/>
    <col min="11008" max="11008" width="21.5703125" customWidth="1"/>
    <col min="11009" max="11013" width="30.5703125" customWidth="1"/>
    <col min="11263" max="11263" width="86.5703125" customWidth="1"/>
    <col min="11264" max="11264" width="21.5703125" customWidth="1"/>
    <col min="11265" max="11269" width="30.5703125" customWidth="1"/>
    <col min="11519" max="11519" width="86.5703125" customWidth="1"/>
    <col min="11520" max="11520" width="21.5703125" customWidth="1"/>
    <col min="11521" max="11525" width="30.5703125" customWidth="1"/>
    <col min="11775" max="11775" width="86.5703125" customWidth="1"/>
    <col min="11776" max="11776" width="21.5703125" customWidth="1"/>
    <col min="11777" max="11781" width="30.5703125" customWidth="1"/>
    <col min="12031" max="12031" width="86.5703125" customWidth="1"/>
    <col min="12032" max="12032" width="21.5703125" customWidth="1"/>
    <col min="12033" max="12037" width="30.5703125" customWidth="1"/>
    <col min="12287" max="12287" width="86.5703125" customWidth="1"/>
    <col min="12288" max="12288" width="21.5703125" customWidth="1"/>
    <col min="12289" max="12293" width="30.5703125" customWidth="1"/>
    <col min="12543" max="12543" width="86.5703125" customWidth="1"/>
    <col min="12544" max="12544" width="21.5703125" customWidth="1"/>
    <col min="12545" max="12549" width="30.5703125" customWidth="1"/>
    <col min="12799" max="12799" width="86.5703125" customWidth="1"/>
    <col min="12800" max="12800" width="21.5703125" customWidth="1"/>
    <col min="12801" max="12805" width="30.5703125" customWidth="1"/>
    <col min="13055" max="13055" width="86.5703125" customWidth="1"/>
    <col min="13056" max="13056" width="21.5703125" customWidth="1"/>
    <col min="13057" max="13061" width="30.5703125" customWidth="1"/>
    <col min="13311" max="13311" width="86.5703125" customWidth="1"/>
    <col min="13312" max="13312" width="21.5703125" customWidth="1"/>
    <col min="13313" max="13317" width="30.5703125" customWidth="1"/>
    <col min="13567" max="13567" width="86.5703125" customWidth="1"/>
    <col min="13568" max="13568" width="21.5703125" customWidth="1"/>
    <col min="13569" max="13573" width="30.5703125" customWidth="1"/>
    <col min="13823" max="13823" width="86.5703125" customWidth="1"/>
    <col min="13824" max="13824" width="21.5703125" customWidth="1"/>
    <col min="13825" max="13829" width="30.5703125" customWidth="1"/>
    <col min="14079" max="14079" width="86.5703125" customWidth="1"/>
    <col min="14080" max="14080" width="21.5703125" customWidth="1"/>
    <col min="14081" max="14085" width="30.5703125" customWidth="1"/>
    <col min="14335" max="14335" width="86.5703125" customWidth="1"/>
    <col min="14336" max="14336" width="21.5703125" customWidth="1"/>
    <col min="14337" max="14341" width="30.5703125" customWidth="1"/>
    <col min="14591" max="14591" width="86.5703125" customWidth="1"/>
    <col min="14592" max="14592" width="21.5703125" customWidth="1"/>
    <col min="14593" max="14597" width="30.5703125" customWidth="1"/>
    <col min="14847" max="14847" width="86.5703125" customWidth="1"/>
    <col min="14848" max="14848" width="21.5703125" customWidth="1"/>
    <col min="14849" max="14853" width="30.5703125" customWidth="1"/>
    <col min="15103" max="15103" width="86.5703125" customWidth="1"/>
    <col min="15104" max="15104" width="21.5703125" customWidth="1"/>
    <col min="15105" max="15109" width="30.5703125" customWidth="1"/>
    <col min="15359" max="15359" width="86.5703125" customWidth="1"/>
    <col min="15360" max="15360" width="21.5703125" customWidth="1"/>
    <col min="15361" max="15365" width="30.5703125" customWidth="1"/>
    <col min="15615" max="15615" width="86.5703125" customWidth="1"/>
    <col min="15616" max="15616" width="21.5703125" customWidth="1"/>
    <col min="15617" max="15621" width="30.5703125" customWidth="1"/>
    <col min="15871" max="15871" width="86.5703125" customWidth="1"/>
    <col min="15872" max="15872" width="21.5703125" customWidth="1"/>
    <col min="15873" max="15877" width="30.5703125" customWidth="1"/>
    <col min="16127" max="16127" width="86.5703125" customWidth="1"/>
    <col min="16128" max="16128" width="21.5703125" customWidth="1"/>
    <col min="16129" max="16133" width="30.5703125" customWidth="1"/>
  </cols>
  <sheetData>
    <row r="1" spans="1:6" ht="15.75" customHeight="1" x14ac:dyDescent="0.25">
      <c r="A1" s="1039" t="s">
        <v>136</v>
      </c>
      <c r="B1" s="1011"/>
      <c r="C1" s="1011"/>
      <c r="D1" s="1011"/>
      <c r="E1" s="1011"/>
    </row>
    <row r="2" spans="1:6" ht="15.75" customHeight="1" x14ac:dyDescent="0.25">
      <c r="A2" s="1039" t="s">
        <v>849</v>
      </c>
      <c r="B2" s="1011"/>
      <c r="C2" s="1011"/>
      <c r="D2" s="1011"/>
      <c r="E2" s="1011"/>
    </row>
    <row r="3" spans="1:6" ht="15.75" thickBot="1" x14ac:dyDescent="0.35">
      <c r="A3" s="2"/>
      <c r="B3" s="2"/>
    </row>
    <row r="4" spans="1:6" ht="47.25" customHeight="1" thickBot="1" x14ac:dyDescent="0.3">
      <c r="A4" s="303" t="s">
        <v>140</v>
      </c>
      <c r="B4" s="304" t="s">
        <v>850</v>
      </c>
      <c r="C4" s="198" t="s">
        <v>851</v>
      </c>
      <c r="D4" s="198" t="s">
        <v>852</v>
      </c>
      <c r="E4" s="198" t="s">
        <v>853</v>
      </c>
      <c r="F4" s="804" t="s">
        <v>854</v>
      </c>
    </row>
    <row r="5" spans="1:6" ht="15.75" x14ac:dyDescent="0.3">
      <c r="A5" s="445" t="s">
        <v>131</v>
      </c>
      <c r="B5" s="446"/>
      <c r="C5" s="447"/>
      <c r="D5" s="447"/>
      <c r="E5" s="447"/>
      <c r="F5" s="76"/>
    </row>
    <row r="6" spans="1:6" ht="30" x14ac:dyDescent="0.25">
      <c r="A6" s="445" t="s">
        <v>132</v>
      </c>
      <c r="B6" s="448">
        <v>0</v>
      </c>
      <c r="C6" s="447">
        <v>0</v>
      </c>
      <c r="D6" s="447">
        <v>0</v>
      </c>
      <c r="E6" s="447">
        <f>C6+D6</f>
        <v>0</v>
      </c>
      <c r="F6" s="447">
        <f>D6</f>
        <v>0</v>
      </c>
    </row>
    <row r="7" spans="1:6" ht="30.75" x14ac:dyDescent="0.3">
      <c r="A7" s="445" t="s">
        <v>151</v>
      </c>
      <c r="B7" s="446">
        <v>0</v>
      </c>
      <c r="C7" s="447">
        <v>0</v>
      </c>
      <c r="D7" s="447">
        <v>0</v>
      </c>
      <c r="E7" s="447">
        <f>C7+D7</f>
        <v>0</v>
      </c>
      <c r="F7" s="447">
        <f>D7</f>
        <v>0</v>
      </c>
    </row>
    <row r="8" spans="1:6" ht="16.5" x14ac:dyDescent="0.3">
      <c r="A8" s="449"/>
      <c r="B8" s="446"/>
      <c r="C8" s="447"/>
      <c r="D8" s="447"/>
      <c r="E8" s="447">
        <f>C8+D8</f>
        <v>0</v>
      </c>
      <c r="F8" s="447">
        <f>D8</f>
        <v>0</v>
      </c>
    </row>
    <row r="9" spans="1:6" ht="16.5" thickBot="1" x14ac:dyDescent="0.3">
      <c r="A9" s="450" t="s">
        <v>133</v>
      </c>
      <c r="B9" s="451">
        <f>SUM(B5:B8)</f>
        <v>0</v>
      </c>
      <c r="C9" s="451">
        <f>SUM(C5:C8)</f>
        <v>0</v>
      </c>
      <c r="D9" s="451">
        <f>SUM(D5:D8)</f>
        <v>0</v>
      </c>
      <c r="E9" s="451">
        <f>C9+D9</f>
        <v>0</v>
      </c>
      <c r="F9" s="452">
        <f>D9+E9</f>
        <v>0</v>
      </c>
    </row>
    <row r="10" spans="1:6" ht="16.5" x14ac:dyDescent="0.3">
      <c r="A10" s="199"/>
      <c r="B10" s="444"/>
      <c r="C10" s="76"/>
      <c r="D10" s="76"/>
      <c r="E10" s="76"/>
      <c r="F10" s="76"/>
    </row>
    <row r="11" spans="1:6" ht="15.75" thickBot="1" x14ac:dyDescent="0.35">
      <c r="A11" s="2"/>
      <c r="B11" s="453"/>
      <c r="C11" s="454"/>
      <c r="D11" s="454"/>
      <c r="E11" s="454"/>
      <c r="F11" s="454"/>
    </row>
    <row r="12" spans="1:6" ht="18" x14ac:dyDescent="0.25">
      <c r="A12" s="303" t="s">
        <v>140</v>
      </c>
      <c r="B12" s="304" t="s">
        <v>855</v>
      </c>
      <c r="C12" s="198" t="s">
        <v>856</v>
      </c>
      <c r="D12" s="198" t="s">
        <v>852</v>
      </c>
      <c r="E12" s="198" t="s">
        <v>853</v>
      </c>
      <c r="F12" s="198" t="s">
        <v>854</v>
      </c>
    </row>
    <row r="13" spans="1:6" ht="15.75" x14ac:dyDescent="0.3">
      <c r="A13" s="445" t="s">
        <v>155</v>
      </c>
      <c r="B13" s="446"/>
      <c r="C13" s="447"/>
      <c r="D13" s="447"/>
      <c r="E13" s="447">
        <f>C13+D13</f>
        <v>0</v>
      </c>
      <c r="F13" s="447">
        <f>D13</f>
        <v>0</v>
      </c>
    </row>
    <row r="14" spans="1:6" ht="15" x14ac:dyDescent="0.25">
      <c r="A14" s="445" t="s">
        <v>658</v>
      </c>
      <c r="B14" s="448"/>
      <c r="C14" s="447"/>
      <c r="D14" s="447"/>
      <c r="E14" s="447">
        <f>C14+D14</f>
        <v>0</v>
      </c>
      <c r="F14" s="447"/>
    </row>
    <row r="15" spans="1:6" ht="30.75" x14ac:dyDescent="0.3">
      <c r="A15" s="445" t="s">
        <v>166</v>
      </c>
      <c r="B15" s="446"/>
      <c r="C15" s="447"/>
      <c r="D15" s="447"/>
      <c r="E15" s="447">
        <f>C15+D15</f>
        <v>0</v>
      </c>
      <c r="F15" s="447">
        <f>D15+E15</f>
        <v>0</v>
      </c>
    </row>
    <row r="16" spans="1:6" ht="16.5" x14ac:dyDescent="0.3">
      <c r="A16" s="449" t="s">
        <v>794</v>
      </c>
      <c r="B16" s="455">
        <v>140000</v>
      </c>
      <c r="C16" s="456">
        <v>161045</v>
      </c>
      <c r="D16" s="447"/>
      <c r="E16" s="457">
        <f>C16+D16</f>
        <v>161045</v>
      </c>
      <c r="F16" s="457">
        <v>166201</v>
      </c>
    </row>
    <row r="17" spans="1:6" ht="16.5" thickBot="1" x14ac:dyDescent="0.3">
      <c r="A17" s="450" t="s">
        <v>167</v>
      </c>
      <c r="B17" s="451">
        <f>SUM(B13:B16)</f>
        <v>140000</v>
      </c>
      <c r="C17" s="451">
        <f>SUM(C13:C16)</f>
        <v>161045</v>
      </c>
      <c r="D17" s="451">
        <f>SUM(D13:D16)</f>
        <v>0</v>
      </c>
      <c r="E17" s="451">
        <f>C17+D17</f>
        <v>161045</v>
      </c>
      <c r="F17" s="452">
        <f>SUM(F13:F16)</f>
        <v>166201</v>
      </c>
    </row>
    <row r="18" spans="1:6" ht="15" x14ac:dyDescent="0.3">
      <c r="A18" s="2"/>
      <c r="B18" s="2"/>
    </row>
    <row r="19" spans="1:6" ht="15" x14ac:dyDescent="0.3">
      <c r="A19" s="2"/>
      <c r="B19" s="2"/>
    </row>
    <row r="20" spans="1:6" ht="15" x14ac:dyDescent="0.3">
      <c r="A20" s="2"/>
      <c r="B20" s="2"/>
    </row>
    <row r="21" spans="1:6" ht="15" x14ac:dyDescent="0.3">
      <c r="A21" s="2"/>
      <c r="B21" s="2"/>
    </row>
    <row r="22" spans="1:6" ht="15" x14ac:dyDescent="0.3">
      <c r="A22" s="2"/>
      <c r="B22" s="2"/>
    </row>
    <row r="23" spans="1:6" ht="15" x14ac:dyDescent="0.3">
      <c r="A23" s="2"/>
      <c r="B23" s="2"/>
    </row>
    <row r="24" spans="1:6" ht="15" x14ac:dyDescent="0.3">
      <c r="A24" s="2"/>
      <c r="B24" s="2"/>
    </row>
    <row r="25" spans="1:6" ht="15" x14ac:dyDescent="0.3">
      <c r="A25" s="2"/>
      <c r="B25" s="2"/>
    </row>
    <row r="26" spans="1:6" ht="15" x14ac:dyDescent="0.3">
      <c r="A26" s="2"/>
      <c r="B26" s="2"/>
    </row>
    <row r="27" spans="1:6" ht="15" x14ac:dyDescent="0.3">
      <c r="A27" s="2"/>
      <c r="B27" s="2"/>
    </row>
    <row r="28" spans="1:6" ht="15" x14ac:dyDescent="0.3">
      <c r="A28" s="2"/>
      <c r="B28" s="2"/>
    </row>
    <row r="29" spans="1:6" ht="15" x14ac:dyDescent="0.3">
      <c r="A29" s="2"/>
      <c r="B29" s="2"/>
    </row>
    <row r="30" spans="1:6" ht="15" x14ac:dyDescent="0.3">
      <c r="A30" s="2"/>
      <c r="B30" s="2"/>
    </row>
    <row r="31" spans="1:6" ht="15" x14ac:dyDescent="0.3">
      <c r="A31" s="2"/>
      <c r="B31" s="2"/>
    </row>
    <row r="32" spans="1:6" ht="15" x14ac:dyDescent="0.3">
      <c r="A32" s="2"/>
      <c r="B32" s="2"/>
    </row>
    <row r="33" spans="1:2" ht="15" x14ac:dyDescent="0.3">
      <c r="A33" s="2"/>
      <c r="B33" s="2"/>
    </row>
    <row r="34" spans="1:2" ht="15" x14ac:dyDescent="0.3">
      <c r="A34" s="2"/>
      <c r="B34" s="2"/>
    </row>
    <row r="35" spans="1:2" ht="15" x14ac:dyDescent="0.3">
      <c r="A35" s="2"/>
      <c r="B35" s="2"/>
    </row>
    <row r="36" spans="1:2" ht="15" x14ac:dyDescent="0.3">
      <c r="A36" s="2"/>
      <c r="B36" s="2"/>
    </row>
    <row r="37" spans="1:2" ht="15" x14ac:dyDescent="0.3">
      <c r="A37" s="2"/>
      <c r="B37" s="2"/>
    </row>
    <row r="38" spans="1:2" ht="15" x14ac:dyDescent="0.3">
      <c r="A38" s="2"/>
      <c r="B38" s="2"/>
    </row>
    <row r="39" spans="1:2" ht="15" x14ac:dyDescent="0.3">
      <c r="A39" s="2"/>
      <c r="B39" s="2"/>
    </row>
    <row r="40" spans="1:2" ht="15" x14ac:dyDescent="0.3">
      <c r="A40" s="2"/>
      <c r="B40" s="2"/>
    </row>
    <row r="41" spans="1:2" ht="15" x14ac:dyDescent="0.3">
      <c r="A41" s="2"/>
      <c r="B41" s="2"/>
    </row>
    <row r="42" spans="1:2" ht="15" x14ac:dyDescent="0.3">
      <c r="A42" s="2"/>
      <c r="B42" s="2"/>
    </row>
    <row r="43" spans="1:2" ht="15" x14ac:dyDescent="0.3">
      <c r="A43" s="2"/>
      <c r="B43" s="2"/>
    </row>
    <row r="44" spans="1:2" ht="15" x14ac:dyDescent="0.3">
      <c r="A44" s="2"/>
      <c r="B44" s="2"/>
    </row>
    <row r="45" spans="1:2" ht="15" x14ac:dyDescent="0.3">
      <c r="A45" s="2"/>
      <c r="B45" s="2"/>
    </row>
    <row r="46" spans="1:2" ht="15" x14ac:dyDescent="0.3">
      <c r="A46" s="2"/>
      <c r="B46" s="2"/>
    </row>
    <row r="47" spans="1:2" ht="15" x14ac:dyDescent="0.3">
      <c r="A47" s="2"/>
      <c r="B47" s="2"/>
    </row>
    <row r="48" spans="1:2" ht="15" x14ac:dyDescent="0.3">
      <c r="A48" s="2"/>
      <c r="B48" s="2"/>
    </row>
    <row r="49" spans="1:2" ht="15" x14ac:dyDescent="0.3">
      <c r="A49" s="2"/>
      <c r="B49" s="2"/>
    </row>
    <row r="50" spans="1:2" ht="15" x14ac:dyDescent="0.3">
      <c r="A50" s="2"/>
      <c r="B50" s="2"/>
    </row>
    <row r="51" spans="1:2" ht="15" x14ac:dyDescent="0.3">
      <c r="A51" s="2"/>
      <c r="B51" s="2"/>
    </row>
    <row r="52" spans="1:2" ht="15" x14ac:dyDescent="0.3">
      <c r="A52" s="2"/>
      <c r="B52" s="2"/>
    </row>
    <row r="53" spans="1:2" ht="15" x14ac:dyDescent="0.3">
      <c r="A53" s="2"/>
      <c r="B53" s="2"/>
    </row>
    <row r="54" spans="1:2" ht="15" x14ac:dyDescent="0.3">
      <c r="A54" s="2"/>
      <c r="B54" s="2"/>
    </row>
    <row r="55" spans="1:2" ht="15" x14ac:dyDescent="0.3">
      <c r="A55" s="2"/>
      <c r="B55" s="2"/>
    </row>
    <row r="56" spans="1:2" ht="15" x14ac:dyDescent="0.3">
      <c r="A56" s="2"/>
      <c r="B56" s="2"/>
    </row>
    <row r="57" spans="1:2" ht="15" x14ac:dyDescent="0.3">
      <c r="A57" s="2"/>
      <c r="B57" s="2"/>
    </row>
    <row r="58" spans="1:2" ht="15" x14ac:dyDescent="0.3">
      <c r="A58" s="2"/>
      <c r="B58" s="2"/>
    </row>
    <row r="59" spans="1:2" ht="15" x14ac:dyDescent="0.3">
      <c r="A59" s="2"/>
      <c r="B59" s="2"/>
    </row>
    <row r="60" spans="1:2" ht="15" x14ac:dyDescent="0.3">
      <c r="A60" s="2"/>
      <c r="B60" s="2"/>
    </row>
    <row r="61" spans="1:2" ht="15" x14ac:dyDescent="0.3">
      <c r="A61" s="2"/>
      <c r="B61" s="2"/>
    </row>
    <row r="62" spans="1:2" ht="15" x14ac:dyDescent="0.3">
      <c r="A62" s="2"/>
      <c r="B62" s="2"/>
    </row>
    <row r="63" spans="1:2" ht="15" x14ac:dyDescent="0.3">
      <c r="A63" s="2"/>
      <c r="B63" s="2"/>
    </row>
    <row r="64" spans="1:2" ht="15" x14ac:dyDescent="0.3">
      <c r="A64" s="2"/>
      <c r="B64" s="2"/>
    </row>
    <row r="65" spans="1:2" ht="15" x14ac:dyDescent="0.3">
      <c r="A65" s="2"/>
      <c r="B65" s="2"/>
    </row>
    <row r="66" spans="1:2" ht="15" x14ac:dyDescent="0.3">
      <c r="A66" s="2"/>
      <c r="B66" s="2"/>
    </row>
    <row r="67" spans="1:2" ht="15" x14ac:dyDescent="0.3">
      <c r="A67" s="2"/>
      <c r="B67" s="2"/>
    </row>
    <row r="68" spans="1:2" ht="15" x14ac:dyDescent="0.3">
      <c r="A68" s="2"/>
      <c r="B68" s="2"/>
    </row>
    <row r="69" spans="1:2" ht="15" x14ac:dyDescent="0.3">
      <c r="A69" s="2"/>
      <c r="B69" s="2"/>
    </row>
    <row r="70" spans="1:2" ht="15" x14ac:dyDescent="0.3">
      <c r="A70" s="2"/>
      <c r="B70" s="2"/>
    </row>
    <row r="71" spans="1:2" ht="15" x14ac:dyDescent="0.3">
      <c r="A71" s="2"/>
      <c r="B71" s="2"/>
    </row>
    <row r="72" spans="1:2" ht="15" x14ac:dyDescent="0.3">
      <c r="A72" s="2"/>
      <c r="B72" s="2"/>
    </row>
    <row r="73" spans="1:2" ht="15" x14ac:dyDescent="0.3">
      <c r="A73" s="2"/>
      <c r="B73" s="2"/>
    </row>
    <row r="74" spans="1:2" ht="15" x14ac:dyDescent="0.3">
      <c r="A74" s="2"/>
      <c r="B74" s="2"/>
    </row>
    <row r="75" spans="1:2" ht="15" x14ac:dyDescent="0.3">
      <c r="A75" s="2"/>
      <c r="B75" s="2"/>
    </row>
    <row r="76" spans="1:2" ht="15" x14ac:dyDescent="0.3">
      <c r="A76" s="2"/>
      <c r="B76" s="2"/>
    </row>
    <row r="77" spans="1:2" ht="15" x14ac:dyDescent="0.3">
      <c r="A77" s="2"/>
      <c r="B77" s="2"/>
    </row>
    <row r="78" spans="1:2" ht="15" x14ac:dyDescent="0.3">
      <c r="A78" s="2"/>
      <c r="B78" s="2"/>
    </row>
    <row r="79" spans="1:2" ht="15" x14ac:dyDescent="0.3">
      <c r="A79" s="2"/>
      <c r="B79" s="2"/>
    </row>
    <row r="80" spans="1:2" ht="15" x14ac:dyDescent="0.3">
      <c r="A80" s="2"/>
      <c r="B80" s="2"/>
    </row>
    <row r="81" spans="1:2" ht="15" x14ac:dyDescent="0.3">
      <c r="A81" s="2"/>
      <c r="B81" s="2"/>
    </row>
    <row r="82" spans="1:2" ht="15" x14ac:dyDescent="0.3">
      <c r="A82" s="2"/>
      <c r="B82" s="2"/>
    </row>
    <row r="83" spans="1:2" ht="15" x14ac:dyDescent="0.3">
      <c r="A83" s="2"/>
      <c r="B83" s="2"/>
    </row>
    <row r="84" spans="1:2" ht="15" x14ac:dyDescent="0.3">
      <c r="A84" s="2"/>
      <c r="B84" s="2"/>
    </row>
    <row r="85" spans="1:2" ht="15" x14ac:dyDescent="0.3">
      <c r="A85" s="2"/>
      <c r="B85" s="2"/>
    </row>
    <row r="86" spans="1:2" ht="15" x14ac:dyDescent="0.3">
      <c r="A86" s="2"/>
      <c r="B86" s="2"/>
    </row>
    <row r="87" spans="1:2" ht="15" x14ac:dyDescent="0.3">
      <c r="A87" s="2"/>
      <c r="B87" s="2"/>
    </row>
    <row r="88" spans="1:2" ht="15" x14ac:dyDescent="0.3">
      <c r="A88" s="2"/>
      <c r="B88" s="2"/>
    </row>
    <row r="89" spans="1:2" ht="15" x14ac:dyDescent="0.3">
      <c r="A89" s="2"/>
      <c r="B89" s="2"/>
    </row>
    <row r="90" spans="1:2" ht="15" x14ac:dyDescent="0.3">
      <c r="A90" s="2"/>
      <c r="B90" s="2"/>
    </row>
    <row r="91" spans="1:2" ht="15" x14ac:dyDescent="0.3">
      <c r="A91" s="2"/>
      <c r="B91" s="2"/>
    </row>
    <row r="92" spans="1:2" ht="15" x14ac:dyDescent="0.3">
      <c r="A92" s="2"/>
      <c r="B92" s="2"/>
    </row>
    <row r="93" spans="1:2" ht="15" x14ac:dyDescent="0.3">
      <c r="A93" s="2"/>
      <c r="B93" s="2"/>
    </row>
    <row r="94" spans="1:2" ht="15" x14ac:dyDescent="0.3">
      <c r="A94" s="2"/>
      <c r="B94" s="2"/>
    </row>
    <row r="95" spans="1:2" ht="15" x14ac:dyDescent="0.3">
      <c r="A95" s="2"/>
      <c r="B95" s="2"/>
    </row>
    <row r="96" spans="1:2" ht="15" x14ac:dyDescent="0.3">
      <c r="A96" s="2"/>
      <c r="B96" s="2"/>
    </row>
    <row r="97" spans="1:2" ht="15" x14ac:dyDescent="0.3">
      <c r="A97" s="2"/>
      <c r="B97" s="2"/>
    </row>
    <row r="98" spans="1:2" ht="15" x14ac:dyDescent="0.3">
      <c r="A98" s="2"/>
      <c r="B98" s="2"/>
    </row>
    <row r="99" spans="1:2" ht="15" x14ac:dyDescent="0.3">
      <c r="A99" s="2"/>
      <c r="B99" s="2"/>
    </row>
    <row r="100" spans="1:2" ht="15" x14ac:dyDescent="0.3">
      <c r="A100" s="2"/>
      <c r="B100" s="2"/>
    </row>
    <row r="101" spans="1:2" ht="15" x14ac:dyDescent="0.3">
      <c r="A101" s="2"/>
      <c r="B101" s="2"/>
    </row>
    <row r="102" spans="1:2" ht="15" x14ac:dyDescent="0.3">
      <c r="A102" s="2"/>
      <c r="B102" s="2"/>
    </row>
    <row r="103" spans="1:2" ht="15" x14ac:dyDescent="0.3">
      <c r="A103" s="2"/>
      <c r="B103" s="2"/>
    </row>
    <row r="104" spans="1:2" ht="15" x14ac:dyDescent="0.3">
      <c r="A104" s="2"/>
      <c r="B104" s="2"/>
    </row>
    <row r="105" spans="1:2" ht="15" x14ac:dyDescent="0.3">
      <c r="A105" s="2"/>
      <c r="B105" s="2"/>
    </row>
    <row r="106" spans="1:2" ht="15" x14ac:dyDescent="0.3">
      <c r="A106" s="2"/>
      <c r="B106" s="2"/>
    </row>
    <row r="107" spans="1:2" ht="15" x14ac:dyDescent="0.3">
      <c r="A107" s="2"/>
      <c r="B107" s="2"/>
    </row>
    <row r="108" spans="1:2" ht="15" x14ac:dyDescent="0.3">
      <c r="A108" s="2"/>
      <c r="B108" s="2"/>
    </row>
    <row r="109" spans="1:2" ht="15" x14ac:dyDescent="0.3">
      <c r="A109" s="2"/>
      <c r="B109" s="2"/>
    </row>
    <row r="110" spans="1:2" ht="15" x14ac:dyDescent="0.3">
      <c r="A110" s="2"/>
      <c r="B110" s="2"/>
    </row>
    <row r="111" spans="1:2" ht="15" x14ac:dyDescent="0.3">
      <c r="A111" s="2"/>
      <c r="B111" s="2"/>
    </row>
    <row r="112" spans="1:2" ht="15" x14ac:dyDescent="0.3">
      <c r="A112" s="2"/>
      <c r="B112" s="2"/>
    </row>
    <row r="113" spans="1:2" ht="15" x14ac:dyDescent="0.3">
      <c r="A113" s="2"/>
      <c r="B113" s="2"/>
    </row>
    <row r="114" spans="1:2" ht="15" x14ac:dyDescent="0.3">
      <c r="A114" s="2"/>
      <c r="B114" s="2"/>
    </row>
    <row r="115" spans="1:2" ht="15" x14ac:dyDescent="0.3">
      <c r="A115" s="2"/>
      <c r="B115" s="2"/>
    </row>
    <row r="116" spans="1:2" ht="15" x14ac:dyDescent="0.3">
      <c r="A116" s="2"/>
      <c r="B116" s="2"/>
    </row>
  </sheetData>
  <mergeCells count="2">
    <mergeCell ref="A1:E1"/>
    <mergeCell ref="A2:E2"/>
  </mergeCells>
  <pageMargins left="0.75" right="0.75" top="1" bottom="1" header="0.5" footer="0.5"/>
  <pageSetup paperSize="8" scale="98" orientation="landscape" r:id="rId1"/>
  <headerFooter alignWithMargins="0">
    <oddHeader>&amp;R&amp;"Bookman Old Style,Normál"8. MELLÉKLET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113"/>
  <sheetViews>
    <sheetView workbookViewId="0">
      <selection activeCell="B13" sqref="B13"/>
    </sheetView>
  </sheetViews>
  <sheetFormatPr defaultRowHeight="12.75" x14ac:dyDescent="0.2"/>
  <cols>
    <col min="1" max="1" width="66.5703125" customWidth="1"/>
    <col min="2" max="2" width="25" customWidth="1"/>
  </cols>
  <sheetData>
    <row r="1" spans="1:4" ht="15.75" x14ac:dyDescent="0.25">
      <c r="A1" s="1039" t="s">
        <v>136</v>
      </c>
      <c r="B1" s="1040"/>
    </row>
    <row r="2" spans="1:4" ht="15.75" x14ac:dyDescent="0.25">
      <c r="A2" s="1039" t="s">
        <v>137</v>
      </c>
      <c r="B2" s="1039"/>
    </row>
    <row r="3" spans="1:4" ht="15" x14ac:dyDescent="0.3">
      <c r="A3" s="2"/>
      <c r="B3" s="2"/>
      <c r="C3" s="2"/>
      <c r="D3" s="2"/>
    </row>
    <row r="4" spans="1:4" ht="30.75" x14ac:dyDescent="0.3">
      <c r="A4" s="39" t="s">
        <v>140</v>
      </c>
      <c r="B4" s="33" t="s">
        <v>122</v>
      </c>
      <c r="C4" s="2"/>
      <c r="D4" s="2"/>
    </row>
    <row r="5" spans="1:4" ht="15.75" x14ac:dyDescent="0.3">
      <c r="A5" s="25" t="s">
        <v>95</v>
      </c>
      <c r="B5" s="17"/>
      <c r="C5" s="2"/>
      <c r="D5" s="2"/>
    </row>
    <row r="6" spans="1:4" ht="15.75" x14ac:dyDescent="0.3">
      <c r="A6" s="25" t="s">
        <v>96</v>
      </c>
      <c r="B6" s="17">
        <v>1</v>
      </c>
      <c r="C6" s="2"/>
      <c r="D6" s="2"/>
    </row>
    <row r="7" spans="1:4" ht="15.75" x14ac:dyDescent="0.3">
      <c r="A7" s="25" t="s">
        <v>97</v>
      </c>
      <c r="B7" s="17"/>
      <c r="C7" s="2"/>
      <c r="D7" s="2"/>
    </row>
    <row r="8" spans="1:4" ht="15.75" x14ac:dyDescent="0.3">
      <c r="A8" s="25" t="s">
        <v>98</v>
      </c>
      <c r="B8" s="17"/>
      <c r="C8" s="2"/>
      <c r="D8" s="2"/>
    </row>
    <row r="9" spans="1:4" ht="15.75" x14ac:dyDescent="0.3">
      <c r="A9" s="25" t="s">
        <v>99</v>
      </c>
      <c r="B9" s="17"/>
      <c r="C9" s="2"/>
      <c r="D9" s="2"/>
    </row>
    <row r="10" spans="1:4" ht="15.75" x14ac:dyDescent="0.3">
      <c r="A10" s="25" t="s">
        <v>100</v>
      </c>
      <c r="B10" s="17"/>
      <c r="C10" s="2"/>
      <c r="D10" s="2"/>
    </row>
    <row r="11" spans="1:4" ht="15.75" x14ac:dyDescent="0.3">
      <c r="A11" s="25" t="s">
        <v>101</v>
      </c>
      <c r="B11" s="17"/>
      <c r="C11" s="2"/>
      <c r="D11" s="2"/>
    </row>
    <row r="12" spans="1:4" ht="16.5" x14ac:dyDescent="0.3">
      <c r="A12" s="13" t="s">
        <v>59</v>
      </c>
      <c r="B12" s="30">
        <f>SUM(B5:B11)</f>
        <v>1</v>
      </c>
      <c r="C12" s="2"/>
      <c r="D12" s="2"/>
    </row>
    <row r="13" spans="1:4" ht="15" x14ac:dyDescent="0.3">
      <c r="A13" s="2"/>
      <c r="B13" s="2"/>
      <c r="C13" s="2"/>
      <c r="D13" s="2"/>
    </row>
    <row r="14" spans="1:4" ht="15" x14ac:dyDescent="0.3">
      <c r="A14" s="2"/>
      <c r="B14" s="2"/>
      <c r="C14" s="2"/>
      <c r="D14" s="2"/>
    </row>
    <row r="15" spans="1:4" ht="15" x14ac:dyDescent="0.3">
      <c r="A15" s="2"/>
      <c r="B15" s="2"/>
      <c r="C15" s="2"/>
      <c r="D15" s="2"/>
    </row>
    <row r="16" spans="1:4" ht="15" x14ac:dyDescent="0.3">
      <c r="A16" s="2"/>
      <c r="B16" s="2"/>
      <c r="C16" s="2"/>
      <c r="D16" s="2"/>
    </row>
    <row r="17" spans="1:4" ht="15" x14ac:dyDescent="0.3">
      <c r="A17" s="2"/>
      <c r="B17" s="2"/>
      <c r="C17" s="2"/>
      <c r="D17" s="2"/>
    </row>
    <row r="18" spans="1:4" ht="15" x14ac:dyDescent="0.3">
      <c r="A18" s="2"/>
      <c r="B18" s="2"/>
      <c r="C18" s="2"/>
      <c r="D18" s="2"/>
    </row>
    <row r="19" spans="1:4" ht="15" x14ac:dyDescent="0.3">
      <c r="A19" s="2"/>
      <c r="B19" s="2"/>
      <c r="C19" s="2"/>
      <c r="D19" s="2"/>
    </row>
    <row r="20" spans="1:4" ht="15" x14ac:dyDescent="0.3">
      <c r="A20" s="2"/>
      <c r="B20" s="2"/>
      <c r="C20" s="2"/>
      <c r="D20" s="2"/>
    </row>
    <row r="21" spans="1:4" ht="15" x14ac:dyDescent="0.3">
      <c r="A21" s="2"/>
      <c r="B21" s="2"/>
      <c r="C21" s="2"/>
      <c r="D21" s="2"/>
    </row>
    <row r="22" spans="1:4" ht="15" x14ac:dyDescent="0.3">
      <c r="A22" s="2"/>
      <c r="B22" s="2"/>
      <c r="C22" s="2"/>
      <c r="D22" s="2"/>
    </row>
    <row r="23" spans="1:4" ht="15" x14ac:dyDescent="0.3">
      <c r="A23" s="2"/>
      <c r="B23" s="2"/>
      <c r="C23" s="2"/>
      <c r="D23" s="2"/>
    </row>
    <row r="24" spans="1:4" ht="15" x14ac:dyDescent="0.3">
      <c r="A24" s="2"/>
      <c r="B24" s="2"/>
      <c r="C24" s="2"/>
      <c r="D24" s="2"/>
    </row>
    <row r="25" spans="1:4" ht="15" x14ac:dyDescent="0.3">
      <c r="A25" s="2"/>
      <c r="B25" s="2"/>
      <c r="C25" s="2"/>
      <c r="D25" s="2"/>
    </row>
    <row r="26" spans="1:4" ht="15" x14ac:dyDescent="0.3">
      <c r="A26" s="2"/>
      <c r="B26" s="2"/>
      <c r="C26" s="2"/>
      <c r="D26" s="2"/>
    </row>
    <row r="27" spans="1:4" ht="15" x14ac:dyDescent="0.3">
      <c r="A27" s="2"/>
      <c r="B27" s="2"/>
      <c r="C27" s="2"/>
      <c r="D27" s="2"/>
    </row>
    <row r="28" spans="1:4" ht="15" x14ac:dyDescent="0.3">
      <c r="A28" s="2"/>
      <c r="B28" s="2"/>
      <c r="C28" s="2"/>
      <c r="D28" s="2"/>
    </row>
    <row r="29" spans="1:4" ht="15" x14ac:dyDescent="0.3">
      <c r="A29" s="2"/>
      <c r="B29" s="2"/>
      <c r="C29" s="2"/>
      <c r="D29" s="2"/>
    </row>
    <row r="30" spans="1:4" ht="15" x14ac:dyDescent="0.3">
      <c r="A30" s="2"/>
      <c r="B30" s="2"/>
      <c r="C30" s="2"/>
      <c r="D30" s="2"/>
    </row>
    <row r="31" spans="1:4" ht="15" x14ac:dyDescent="0.3">
      <c r="A31" s="2"/>
      <c r="B31" s="2"/>
      <c r="C31" s="2"/>
      <c r="D31" s="2"/>
    </row>
    <row r="32" spans="1:4" ht="15" x14ac:dyDescent="0.3">
      <c r="A32" s="2"/>
      <c r="B32" s="2"/>
      <c r="C32" s="2"/>
      <c r="D32" s="2"/>
    </row>
    <row r="33" spans="1:4" ht="15" x14ac:dyDescent="0.3">
      <c r="A33" s="2"/>
      <c r="B33" s="2"/>
      <c r="C33" s="2"/>
      <c r="D33" s="2"/>
    </row>
    <row r="34" spans="1:4" ht="15" x14ac:dyDescent="0.3">
      <c r="A34" s="2"/>
      <c r="B34" s="2"/>
      <c r="C34" s="2"/>
      <c r="D34" s="2"/>
    </row>
    <row r="35" spans="1:4" ht="15" x14ac:dyDescent="0.3">
      <c r="A35" s="2"/>
      <c r="B35" s="2"/>
      <c r="C35" s="2"/>
      <c r="D35" s="2"/>
    </row>
    <row r="36" spans="1:4" ht="15" x14ac:dyDescent="0.3">
      <c r="A36" s="2"/>
      <c r="B36" s="2"/>
      <c r="C36" s="2"/>
      <c r="D36" s="2"/>
    </row>
    <row r="37" spans="1:4" ht="15" x14ac:dyDescent="0.3">
      <c r="A37" s="2"/>
      <c r="B37" s="2"/>
      <c r="C37" s="2"/>
      <c r="D37" s="2"/>
    </row>
    <row r="38" spans="1:4" ht="15" x14ac:dyDescent="0.3">
      <c r="A38" s="2"/>
      <c r="B38" s="2"/>
      <c r="C38" s="2"/>
      <c r="D38" s="2"/>
    </row>
    <row r="39" spans="1:4" ht="15" x14ac:dyDescent="0.3">
      <c r="A39" s="2"/>
      <c r="B39" s="2"/>
      <c r="C39" s="2"/>
      <c r="D39" s="2"/>
    </row>
    <row r="40" spans="1:4" ht="15" x14ac:dyDescent="0.3">
      <c r="A40" s="2"/>
      <c r="B40" s="2"/>
      <c r="C40" s="2"/>
      <c r="D40" s="2"/>
    </row>
    <row r="41" spans="1:4" ht="15" x14ac:dyDescent="0.3">
      <c r="A41" s="2"/>
      <c r="B41" s="2"/>
      <c r="C41" s="2"/>
      <c r="D41" s="2"/>
    </row>
    <row r="42" spans="1:4" ht="15" x14ac:dyDescent="0.3">
      <c r="A42" s="2"/>
      <c r="B42" s="2"/>
      <c r="C42" s="2"/>
      <c r="D42" s="2"/>
    </row>
    <row r="43" spans="1:4" ht="15" x14ac:dyDescent="0.3">
      <c r="A43" s="2"/>
      <c r="B43" s="2"/>
      <c r="C43" s="2"/>
      <c r="D43" s="2"/>
    </row>
    <row r="44" spans="1:4" ht="15" x14ac:dyDescent="0.3">
      <c r="A44" s="2"/>
      <c r="B44" s="2"/>
      <c r="C44" s="2"/>
      <c r="D44" s="2"/>
    </row>
    <row r="45" spans="1:4" ht="15" x14ac:dyDescent="0.3">
      <c r="A45" s="2"/>
      <c r="B45" s="2"/>
      <c r="C45" s="2"/>
      <c r="D45" s="2"/>
    </row>
    <row r="46" spans="1:4" ht="15" x14ac:dyDescent="0.3">
      <c r="A46" s="2"/>
      <c r="B46" s="2"/>
      <c r="C46" s="2"/>
      <c r="D46" s="2"/>
    </row>
    <row r="47" spans="1:4" ht="15" x14ac:dyDescent="0.3">
      <c r="A47" s="2"/>
      <c r="B47" s="2"/>
      <c r="C47" s="2"/>
      <c r="D47" s="2"/>
    </row>
    <row r="48" spans="1:4" ht="15" x14ac:dyDescent="0.3">
      <c r="A48" s="2"/>
      <c r="B48" s="2"/>
      <c r="C48" s="2"/>
      <c r="D48" s="2"/>
    </row>
    <row r="49" spans="1:4" ht="15" x14ac:dyDescent="0.3">
      <c r="A49" s="2"/>
      <c r="B49" s="2"/>
      <c r="C49" s="2"/>
      <c r="D49" s="2"/>
    </row>
    <row r="50" spans="1:4" ht="15" x14ac:dyDescent="0.3">
      <c r="A50" s="2"/>
      <c r="B50" s="2"/>
      <c r="C50" s="2"/>
      <c r="D50" s="2"/>
    </row>
    <row r="51" spans="1:4" ht="15" x14ac:dyDescent="0.3">
      <c r="A51" s="2"/>
      <c r="B51" s="2"/>
      <c r="C51" s="2"/>
      <c r="D51" s="2"/>
    </row>
    <row r="52" spans="1:4" ht="15" x14ac:dyDescent="0.3">
      <c r="A52" s="2"/>
      <c r="B52" s="2"/>
      <c r="C52" s="2"/>
      <c r="D52" s="2"/>
    </row>
    <row r="53" spans="1:4" ht="15" x14ac:dyDescent="0.3">
      <c r="A53" s="2"/>
      <c r="B53" s="2"/>
      <c r="C53" s="2"/>
      <c r="D53" s="2"/>
    </row>
    <row r="54" spans="1:4" ht="15" x14ac:dyDescent="0.3">
      <c r="A54" s="2"/>
      <c r="B54" s="2"/>
      <c r="C54" s="2"/>
      <c r="D54" s="2"/>
    </row>
    <row r="55" spans="1:4" ht="15" x14ac:dyDescent="0.3">
      <c r="A55" s="2"/>
      <c r="B55" s="2"/>
      <c r="C55" s="2"/>
      <c r="D55" s="2"/>
    </row>
    <row r="56" spans="1:4" ht="15" x14ac:dyDescent="0.3">
      <c r="A56" s="2"/>
      <c r="B56" s="2"/>
      <c r="C56" s="2"/>
      <c r="D56" s="2"/>
    </row>
    <row r="57" spans="1:4" ht="15" x14ac:dyDescent="0.3">
      <c r="A57" s="2"/>
      <c r="B57" s="2"/>
      <c r="C57" s="2"/>
      <c r="D57" s="2"/>
    </row>
    <row r="58" spans="1:4" ht="15" x14ac:dyDescent="0.3">
      <c r="A58" s="2"/>
      <c r="B58" s="2"/>
      <c r="C58" s="2"/>
      <c r="D58" s="2"/>
    </row>
    <row r="59" spans="1:4" ht="15" x14ac:dyDescent="0.3">
      <c r="A59" s="2"/>
      <c r="B59" s="2"/>
      <c r="C59" s="2"/>
      <c r="D59" s="2"/>
    </row>
    <row r="60" spans="1:4" ht="15" x14ac:dyDescent="0.3">
      <c r="A60" s="2"/>
      <c r="B60" s="2"/>
      <c r="C60" s="2"/>
      <c r="D60" s="2"/>
    </row>
    <row r="61" spans="1:4" ht="15" x14ac:dyDescent="0.3">
      <c r="A61" s="2"/>
      <c r="B61" s="2"/>
      <c r="C61" s="2"/>
      <c r="D61" s="2"/>
    </row>
    <row r="62" spans="1:4" ht="15" x14ac:dyDescent="0.3">
      <c r="A62" s="2"/>
      <c r="B62" s="2"/>
      <c r="C62" s="2"/>
      <c r="D62" s="2"/>
    </row>
    <row r="63" spans="1:4" ht="15" x14ac:dyDescent="0.3">
      <c r="A63" s="2"/>
      <c r="B63" s="2"/>
      <c r="C63" s="2"/>
      <c r="D63" s="2"/>
    </row>
    <row r="64" spans="1:4" ht="15" x14ac:dyDescent="0.3">
      <c r="A64" s="2"/>
      <c r="B64" s="2"/>
      <c r="C64" s="2"/>
      <c r="D64" s="2"/>
    </row>
    <row r="65" spans="1:4" ht="15" x14ac:dyDescent="0.3">
      <c r="A65" s="2"/>
      <c r="B65" s="2"/>
      <c r="C65" s="2"/>
      <c r="D65" s="2"/>
    </row>
    <row r="66" spans="1:4" ht="15" x14ac:dyDescent="0.3">
      <c r="A66" s="2"/>
      <c r="B66" s="2"/>
      <c r="C66" s="2"/>
      <c r="D66" s="2"/>
    </row>
    <row r="67" spans="1:4" ht="15" x14ac:dyDescent="0.3">
      <c r="A67" s="2"/>
      <c r="B67" s="2"/>
      <c r="C67" s="2"/>
      <c r="D67" s="2"/>
    </row>
    <row r="68" spans="1:4" ht="15" x14ac:dyDescent="0.3">
      <c r="A68" s="2"/>
      <c r="B68" s="2"/>
      <c r="C68" s="2"/>
      <c r="D68" s="2"/>
    </row>
    <row r="69" spans="1:4" ht="15" x14ac:dyDescent="0.3">
      <c r="A69" s="2"/>
      <c r="B69" s="2"/>
      <c r="C69" s="2"/>
      <c r="D69" s="2"/>
    </row>
    <row r="70" spans="1:4" ht="15" x14ac:dyDescent="0.3">
      <c r="A70" s="2"/>
      <c r="B70" s="2"/>
      <c r="C70" s="2"/>
      <c r="D70" s="2"/>
    </row>
    <row r="71" spans="1:4" ht="15" x14ac:dyDescent="0.3">
      <c r="A71" s="2"/>
      <c r="B71" s="2"/>
      <c r="C71" s="2"/>
      <c r="D71" s="2"/>
    </row>
    <row r="72" spans="1:4" ht="15" x14ac:dyDescent="0.3">
      <c r="A72" s="2"/>
      <c r="B72" s="2"/>
      <c r="C72" s="2"/>
      <c r="D72" s="2"/>
    </row>
    <row r="73" spans="1:4" ht="15" x14ac:dyDescent="0.3">
      <c r="A73" s="2"/>
      <c r="B73" s="2"/>
      <c r="C73" s="2"/>
      <c r="D73" s="2"/>
    </row>
    <row r="74" spans="1:4" ht="15" x14ac:dyDescent="0.3">
      <c r="A74" s="2"/>
      <c r="B74" s="2"/>
      <c r="C74" s="2"/>
      <c r="D74" s="2"/>
    </row>
    <row r="75" spans="1:4" ht="15" x14ac:dyDescent="0.3">
      <c r="A75" s="2"/>
      <c r="B75" s="2"/>
      <c r="C75" s="2"/>
      <c r="D75" s="2"/>
    </row>
    <row r="76" spans="1:4" ht="15" x14ac:dyDescent="0.3">
      <c r="A76" s="2"/>
      <c r="B76" s="2"/>
      <c r="C76" s="2"/>
      <c r="D76" s="2"/>
    </row>
    <row r="77" spans="1:4" ht="15" x14ac:dyDescent="0.3">
      <c r="A77" s="2"/>
      <c r="B77" s="2"/>
      <c r="C77" s="2"/>
      <c r="D77" s="2"/>
    </row>
    <row r="78" spans="1:4" ht="15" x14ac:dyDescent="0.3">
      <c r="A78" s="2"/>
      <c r="B78" s="2"/>
      <c r="C78" s="2"/>
      <c r="D78" s="2"/>
    </row>
    <row r="79" spans="1:4" ht="15" x14ac:dyDescent="0.3">
      <c r="A79" s="2"/>
      <c r="B79" s="2"/>
      <c r="C79" s="2"/>
      <c r="D79" s="2"/>
    </row>
    <row r="80" spans="1:4" ht="15" x14ac:dyDescent="0.3">
      <c r="A80" s="2"/>
      <c r="B80" s="2"/>
      <c r="C80" s="2"/>
      <c r="D80" s="2"/>
    </row>
    <row r="81" spans="1:4" ht="15" x14ac:dyDescent="0.3">
      <c r="A81" s="2"/>
      <c r="B81" s="2"/>
      <c r="C81" s="2"/>
      <c r="D81" s="2"/>
    </row>
    <row r="82" spans="1:4" ht="15" x14ac:dyDescent="0.3">
      <c r="A82" s="2"/>
      <c r="B82" s="2"/>
      <c r="C82" s="2"/>
      <c r="D82" s="2"/>
    </row>
    <row r="83" spans="1:4" ht="15" x14ac:dyDescent="0.3">
      <c r="A83" s="2"/>
      <c r="B83" s="2"/>
      <c r="C83" s="2"/>
      <c r="D83" s="2"/>
    </row>
    <row r="84" spans="1:4" ht="15" x14ac:dyDescent="0.3">
      <c r="A84" s="2"/>
      <c r="B84" s="2"/>
      <c r="C84" s="2"/>
      <c r="D84" s="2"/>
    </row>
    <row r="85" spans="1:4" ht="15" x14ac:dyDescent="0.3">
      <c r="A85" s="2"/>
      <c r="B85" s="2"/>
      <c r="C85" s="2"/>
      <c r="D85" s="2"/>
    </row>
    <row r="86" spans="1:4" ht="15" x14ac:dyDescent="0.3">
      <c r="A86" s="2"/>
      <c r="B86" s="2"/>
      <c r="C86" s="2"/>
      <c r="D86" s="2"/>
    </row>
    <row r="87" spans="1:4" ht="15" x14ac:dyDescent="0.3">
      <c r="A87" s="2"/>
      <c r="B87" s="2"/>
      <c r="C87" s="2"/>
      <c r="D87" s="2"/>
    </row>
    <row r="88" spans="1:4" ht="15" x14ac:dyDescent="0.3">
      <c r="A88" s="2"/>
      <c r="B88" s="2"/>
      <c r="C88" s="2"/>
      <c r="D88" s="2"/>
    </row>
    <row r="89" spans="1:4" ht="15" x14ac:dyDescent="0.3">
      <c r="A89" s="2"/>
      <c r="B89" s="2"/>
      <c r="C89" s="2"/>
      <c r="D89" s="2"/>
    </row>
    <row r="90" spans="1:4" ht="15" x14ac:dyDescent="0.3">
      <c r="A90" s="2"/>
      <c r="B90" s="2"/>
      <c r="C90" s="2"/>
      <c r="D90" s="2"/>
    </row>
    <row r="91" spans="1:4" ht="15" x14ac:dyDescent="0.3">
      <c r="A91" s="2"/>
      <c r="B91" s="2"/>
      <c r="C91" s="2"/>
      <c r="D91" s="2"/>
    </row>
    <row r="92" spans="1:4" ht="15" x14ac:dyDescent="0.3">
      <c r="A92" s="2"/>
      <c r="B92" s="2"/>
      <c r="C92" s="2"/>
      <c r="D92" s="2"/>
    </row>
    <row r="93" spans="1:4" ht="15" x14ac:dyDescent="0.3">
      <c r="A93" s="2"/>
      <c r="B93" s="2"/>
      <c r="C93" s="2"/>
      <c r="D93" s="2"/>
    </row>
    <row r="94" spans="1:4" ht="15" x14ac:dyDescent="0.3">
      <c r="A94" s="2"/>
      <c r="B94" s="2"/>
      <c r="C94" s="2"/>
      <c r="D94" s="2"/>
    </row>
    <row r="95" spans="1:4" ht="15" x14ac:dyDescent="0.3">
      <c r="A95" s="2"/>
      <c r="B95" s="2"/>
      <c r="C95" s="2"/>
      <c r="D95" s="2"/>
    </row>
    <row r="96" spans="1:4" ht="15" x14ac:dyDescent="0.3">
      <c r="A96" s="2"/>
      <c r="B96" s="2"/>
      <c r="C96" s="2"/>
      <c r="D96" s="2"/>
    </row>
    <row r="97" spans="1:4" ht="15" x14ac:dyDescent="0.3">
      <c r="A97" s="2"/>
      <c r="B97" s="2"/>
      <c r="C97" s="2"/>
      <c r="D97" s="2"/>
    </row>
    <row r="98" spans="1:4" ht="15" x14ac:dyDescent="0.3">
      <c r="A98" s="2"/>
      <c r="B98" s="2"/>
      <c r="C98" s="2"/>
      <c r="D98" s="2"/>
    </row>
    <row r="99" spans="1:4" ht="15" x14ac:dyDescent="0.3">
      <c r="A99" s="2"/>
      <c r="B99" s="2"/>
      <c r="C99" s="2"/>
      <c r="D99" s="2"/>
    </row>
    <row r="100" spans="1:4" ht="15" x14ac:dyDescent="0.3">
      <c r="A100" s="2"/>
      <c r="B100" s="2"/>
      <c r="C100" s="2"/>
      <c r="D100" s="2"/>
    </row>
    <row r="101" spans="1:4" ht="15" x14ac:dyDescent="0.3">
      <c r="A101" s="2"/>
      <c r="B101" s="2"/>
      <c r="C101" s="2"/>
      <c r="D101" s="2"/>
    </row>
    <row r="102" spans="1:4" ht="15" x14ac:dyDescent="0.3">
      <c r="A102" s="2"/>
      <c r="B102" s="2"/>
      <c r="C102" s="2"/>
      <c r="D102" s="2"/>
    </row>
    <row r="103" spans="1:4" ht="15" x14ac:dyDescent="0.3">
      <c r="A103" s="2"/>
      <c r="B103" s="2"/>
      <c r="C103" s="2"/>
      <c r="D103" s="2"/>
    </row>
    <row r="104" spans="1:4" ht="15" x14ac:dyDescent="0.3">
      <c r="A104" s="2"/>
      <c r="B104" s="2"/>
      <c r="C104" s="2"/>
      <c r="D104" s="2"/>
    </row>
    <row r="105" spans="1:4" ht="15" x14ac:dyDescent="0.3">
      <c r="A105" s="2"/>
      <c r="B105" s="2"/>
      <c r="C105" s="2"/>
      <c r="D105" s="2"/>
    </row>
    <row r="106" spans="1:4" ht="15" x14ac:dyDescent="0.3">
      <c r="A106" s="2"/>
      <c r="B106" s="2"/>
      <c r="C106" s="2"/>
      <c r="D106" s="2"/>
    </row>
    <row r="107" spans="1:4" ht="15" x14ac:dyDescent="0.3">
      <c r="A107" s="2"/>
      <c r="B107" s="2"/>
      <c r="C107" s="2"/>
      <c r="D107" s="2"/>
    </row>
    <row r="108" spans="1:4" ht="15" x14ac:dyDescent="0.3">
      <c r="A108" s="2"/>
      <c r="B108" s="2"/>
      <c r="C108" s="2"/>
      <c r="D108" s="2"/>
    </row>
    <row r="109" spans="1:4" ht="15" x14ac:dyDescent="0.3">
      <c r="A109" s="2"/>
      <c r="B109" s="2"/>
      <c r="C109" s="2"/>
      <c r="D109" s="2"/>
    </row>
    <row r="110" spans="1:4" ht="15" x14ac:dyDescent="0.3">
      <c r="A110" s="2"/>
      <c r="B110" s="2"/>
      <c r="C110" s="2"/>
      <c r="D110" s="2"/>
    </row>
    <row r="111" spans="1:4" ht="15" x14ac:dyDescent="0.3">
      <c r="A111" s="2"/>
      <c r="B111" s="2"/>
      <c r="C111" s="2"/>
      <c r="D111" s="2"/>
    </row>
    <row r="112" spans="1:4" ht="15" x14ac:dyDescent="0.3">
      <c r="A112" s="2"/>
      <c r="B112" s="2"/>
      <c r="C112" s="2"/>
      <c r="D112" s="2"/>
    </row>
    <row r="113" spans="1:4" ht="15" x14ac:dyDescent="0.3">
      <c r="A113" s="2"/>
      <c r="B113" s="2"/>
      <c r="C113" s="2"/>
      <c r="D113" s="2"/>
    </row>
  </sheetData>
  <mergeCells count="2">
    <mergeCell ref="A1:B1"/>
    <mergeCell ref="A2:B2"/>
  </mergeCells>
  <phoneticPr fontId="9" type="noConversion"/>
  <pageMargins left="0.75" right="0.75" top="1" bottom="1" header="0.5" footer="0.5"/>
  <pageSetup paperSize="9" scale="96" orientation="portrait" r:id="rId1"/>
  <headerFooter alignWithMargins="0">
    <oddHeader>&amp;R&amp;"Bookman Old Style,Normál"9. MELLÉKLET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F94"/>
  <sheetViews>
    <sheetView topLeftCell="A22" workbookViewId="0">
      <selection activeCell="G32" sqref="G32"/>
    </sheetView>
  </sheetViews>
  <sheetFormatPr defaultColWidth="24.5703125" defaultRowHeight="12.75" x14ac:dyDescent="0.2"/>
  <cols>
    <col min="1" max="1" width="53.7109375" customWidth="1"/>
    <col min="2" max="2" width="17.42578125" customWidth="1"/>
    <col min="3" max="3" width="18.5703125" customWidth="1"/>
    <col min="4" max="4" width="19.28515625" customWidth="1"/>
    <col min="5" max="5" width="20.7109375" customWidth="1"/>
    <col min="6" max="6" width="19.140625" customWidth="1"/>
  </cols>
  <sheetData>
    <row r="1" spans="1:6" ht="15.75" customHeight="1" x14ac:dyDescent="0.25">
      <c r="A1" s="1039" t="s">
        <v>136</v>
      </c>
      <c r="B1" s="1011"/>
      <c r="C1" s="1011"/>
      <c r="D1" s="1011"/>
      <c r="E1" s="1011"/>
    </row>
    <row r="2" spans="1:6" ht="13.5" x14ac:dyDescent="0.25">
      <c r="A2" s="1039" t="s">
        <v>857</v>
      </c>
      <c r="B2" s="1011"/>
      <c r="C2" s="1011"/>
      <c r="D2" s="1011"/>
      <c r="E2" s="1011"/>
    </row>
    <row r="3" spans="1:6" ht="15.75" thickBot="1" x14ac:dyDescent="0.35">
      <c r="A3" s="2"/>
    </row>
    <row r="4" spans="1:6" ht="18.75" thickBot="1" x14ac:dyDescent="0.3">
      <c r="A4" s="987" t="s">
        <v>140</v>
      </c>
      <c r="B4" s="804" t="s">
        <v>858</v>
      </c>
      <c r="C4" s="804" t="s">
        <v>800</v>
      </c>
      <c r="D4" s="804" t="s">
        <v>859</v>
      </c>
      <c r="E4" s="804" t="s">
        <v>860</v>
      </c>
      <c r="F4" s="804" t="s">
        <v>861</v>
      </c>
    </row>
    <row r="5" spans="1:6" x14ac:dyDescent="0.2">
      <c r="A5" s="674" t="s">
        <v>34</v>
      </c>
      <c r="B5" s="196"/>
      <c r="C5" s="986"/>
      <c r="D5" s="986"/>
      <c r="E5" s="986">
        <f t="shared" ref="E5:E21" si="0">C5+D5</f>
        <v>0</v>
      </c>
      <c r="F5" s="986"/>
    </row>
    <row r="6" spans="1:6" x14ac:dyDescent="0.2">
      <c r="A6" s="960" t="s">
        <v>659</v>
      </c>
      <c r="B6" s="972">
        <v>37800</v>
      </c>
      <c r="C6" s="973">
        <v>43483</v>
      </c>
      <c r="D6" s="973"/>
      <c r="E6" s="973">
        <f t="shared" si="0"/>
        <v>43483</v>
      </c>
      <c r="F6" s="973">
        <v>44874</v>
      </c>
    </row>
    <row r="7" spans="1:6" x14ac:dyDescent="0.2">
      <c r="A7" s="960" t="s">
        <v>35</v>
      </c>
      <c r="B7" s="973">
        <v>116838</v>
      </c>
      <c r="C7" s="973">
        <v>120321</v>
      </c>
      <c r="D7" s="973"/>
      <c r="E7" s="973">
        <f t="shared" si="0"/>
        <v>120321</v>
      </c>
      <c r="F7" s="973">
        <v>36515</v>
      </c>
    </row>
    <row r="8" spans="1:6" x14ac:dyDescent="0.2">
      <c r="A8" s="960" t="s">
        <v>2</v>
      </c>
      <c r="B8" s="973"/>
      <c r="C8" s="973"/>
      <c r="D8" s="973"/>
      <c r="E8" s="973">
        <f t="shared" si="0"/>
        <v>0</v>
      </c>
      <c r="F8" s="973"/>
    </row>
    <row r="9" spans="1:6" x14ac:dyDescent="0.2">
      <c r="A9" s="960" t="s">
        <v>470</v>
      </c>
      <c r="B9" s="973">
        <v>140000</v>
      </c>
      <c r="C9" s="973">
        <v>161045</v>
      </c>
      <c r="D9" s="973"/>
      <c r="E9" s="973">
        <f t="shared" si="0"/>
        <v>161045</v>
      </c>
      <c r="F9" s="973">
        <v>166201</v>
      </c>
    </row>
    <row r="10" spans="1:6" x14ac:dyDescent="0.2">
      <c r="A10" s="960" t="s">
        <v>740</v>
      </c>
      <c r="B10" s="973"/>
      <c r="C10" s="973"/>
      <c r="D10" s="973"/>
      <c r="E10" s="973">
        <f t="shared" si="0"/>
        <v>0</v>
      </c>
      <c r="F10" s="973"/>
    </row>
    <row r="11" spans="1:6" x14ac:dyDescent="0.2">
      <c r="A11" s="961" t="s">
        <v>9</v>
      </c>
      <c r="B11" s="973"/>
      <c r="C11" s="973"/>
      <c r="D11" s="973"/>
      <c r="E11" s="973">
        <f t="shared" si="0"/>
        <v>0</v>
      </c>
      <c r="F11" s="973"/>
    </row>
    <row r="12" spans="1:6" x14ac:dyDescent="0.2">
      <c r="A12" s="961" t="s">
        <v>10</v>
      </c>
      <c r="B12" s="973"/>
      <c r="C12" s="973"/>
      <c r="D12" s="973"/>
      <c r="E12" s="973">
        <f t="shared" si="0"/>
        <v>0</v>
      </c>
      <c r="F12" s="973"/>
    </row>
    <row r="13" spans="1:6" x14ac:dyDescent="0.2">
      <c r="A13" s="961" t="s">
        <v>769</v>
      </c>
      <c r="B13" s="973"/>
      <c r="C13" s="973"/>
      <c r="D13" s="973"/>
      <c r="E13" s="973">
        <f t="shared" si="0"/>
        <v>0</v>
      </c>
      <c r="F13" s="973">
        <v>84971</v>
      </c>
    </row>
    <row r="14" spans="1:6" ht="42.6" customHeight="1" x14ac:dyDescent="0.2">
      <c r="A14" s="960" t="s">
        <v>0</v>
      </c>
      <c r="B14" s="973"/>
      <c r="C14" s="973"/>
      <c r="D14" s="973"/>
      <c r="E14" s="973">
        <f t="shared" si="0"/>
        <v>0</v>
      </c>
      <c r="F14" s="973"/>
    </row>
    <row r="15" spans="1:6" x14ac:dyDescent="0.2">
      <c r="A15" s="962" t="s">
        <v>4</v>
      </c>
      <c r="B15" s="973"/>
      <c r="C15" s="973"/>
      <c r="D15" s="973"/>
      <c r="E15" s="973">
        <f t="shared" si="0"/>
        <v>0</v>
      </c>
      <c r="F15" s="973"/>
    </row>
    <row r="16" spans="1:6" x14ac:dyDescent="0.2">
      <c r="A16" s="962" t="s">
        <v>156</v>
      </c>
      <c r="B16" s="973"/>
      <c r="C16" s="973"/>
      <c r="D16" s="973"/>
      <c r="E16" s="973">
        <f t="shared" si="0"/>
        <v>0</v>
      </c>
      <c r="F16" s="973"/>
    </row>
    <row r="17" spans="1:6" x14ac:dyDescent="0.2">
      <c r="A17" s="963" t="s">
        <v>39</v>
      </c>
      <c r="B17" s="974">
        <f>B5+B6+B7+B10+B9+B11+B12+B13+B14+B15+B16</f>
        <v>294638</v>
      </c>
      <c r="C17" s="979">
        <f>SUM(C5:C16)</f>
        <v>324849</v>
      </c>
      <c r="D17" s="979">
        <f>SUM(D5:D16)</f>
        <v>0</v>
      </c>
      <c r="E17" s="979">
        <f t="shared" si="0"/>
        <v>324849</v>
      </c>
      <c r="F17" s="979">
        <f>F5+F6+F7+F8+F9+F10+F11+F12+F13+F14+F15+F16</f>
        <v>332561</v>
      </c>
    </row>
    <row r="18" spans="1:6" x14ac:dyDescent="0.2">
      <c r="A18" s="964" t="s">
        <v>42</v>
      </c>
      <c r="B18" s="975"/>
      <c r="C18" s="975"/>
      <c r="D18" s="975"/>
      <c r="E18" s="975">
        <f t="shared" si="0"/>
        <v>0</v>
      </c>
      <c r="F18" s="975">
        <f>D18</f>
        <v>0</v>
      </c>
    </row>
    <row r="19" spans="1:6" x14ac:dyDescent="0.2">
      <c r="A19" s="965" t="s">
        <v>43</v>
      </c>
      <c r="B19" s="976"/>
      <c r="C19" s="976"/>
      <c r="D19" s="976"/>
      <c r="E19" s="976">
        <f t="shared" si="0"/>
        <v>0</v>
      </c>
      <c r="F19" s="976">
        <f>D19</f>
        <v>0</v>
      </c>
    </row>
    <row r="20" spans="1:6" x14ac:dyDescent="0.2">
      <c r="A20" s="966" t="s">
        <v>12</v>
      </c>
      <c r="B20" s="977"/>
      <c r="C20" s="977"/>
      <c r="D20" s="977"/>
      <c r="E20" s="977">
        <f t="shared" si="0"/>
        <v>0</v>
      </c>
      <c r="F20" s="977">
        <f>D20</f>
        <v>0</v>
      </c>
    </row>
    <row r="21" spans="1:6" ht="31.9" customHeight="1" x14ac:dyDescent="0.2">
      <c r="A21" s="960" t="s">
        <v>168</v>
      </c>
      <c r="B21" s="973">
        <v>33269</v>
      </c>
      <c r="C21" s="973"/>
      <c r="D21" s="973">
        <v>37562</v>
      </c>
      <c r="E21" s="973">
        <f t="shared" si="0"/>
        <v>37562</v>
      </c>
      <c r="F21" s="973">
        <v>37562</v>
      </c>
    </row>
    <row r="22" spans="1:6" ht="30.75" customHeight="1" x14ac:dyDescent="0.2">
      <c r="A22" s="967" t="s">
        <v>416</v>
      </c>
      <c r="B22" s="973">
        <v>0</v>
      </c>
      <c r="C22" s="973"/>
      <c r="D22" s="973"/>
      <c r="E22" s="973"/>
      <c r="F22" s="973"/>
    </row>
    <row r="23" spans="1:6" ht="48" customHeight="1" x14ac:dyDescent="0.2">
      <c r="A23" s="968" t="s">
        <v>6</v>
      </c>
      <c r="B23" s="978">
        <f>B17+B18+B19+B20+B21+B22</f>
        <v>327907</v>
      </c>
      <c r="C23" s="978">
        <f t="shared" ref="C23:F23" si="1">C17+C21+C22</f>
        <v>324849</v>
      </c>
      <c r="D23" s="978">
        <f t="shared" si="1"/>
        <v>37562</v>
      </c>
      <c r="E23" s="978">
        <f t="shared" si="1"/>
        <v>362411</v>
      </c>
      <c r="F23" s="978">
        <f t="shared" si="1"/>
        <v>370123</v>
      </c>
    </row>
    <row r="24" spans="1:6" x14ac:dyDescent="0.2">
      <c r="A24" s="960" t="s">
        <v>123</v>
      </c>
      <c r="B24" s="973">
        <v>0</v>
      </c>
      <c r="C24" s="973"/>
      <c r="D24" s="973"/>
      <c r="E24" s="973"/>
      <c r="F24" s="973"/>
    </row>
    <row r="25" spans="1:6" x14ac:dyDescent="0.2">
      <c r="A25" s="960" t="s">
        <v>36</v>
      </c>
      <c r="B25" s="973">
        <v>277975</v>
      </c>
      <c r="C25" s="973">
        <v>252735</v>
      </c>
      <c r="D25" s="973"/>
      <c r="E25" s="973">
        <f t="shared" ref="E25:E31" si="2">C25+D25</f>
        <v>252735</v>
      </c>
      <c r="F25" s="973">
        <v>24881</v>
      </c>
    </row>
    <row r="26" spans="1:6" x14ac:dyDescent="0.2">
      <c r="A26" s="960" t="s">
        <v>15</v>
      </c>
      <c r="B26" s="973"/>
      <c r="C26" s="973"/>
      <c r="D26" s="973"/>
      <c r="E26" s="973">
        <f t="shared" si="2"/>
        <v>0</v>
      </c>
      <c r="F26" s="973"/>
    </row>
    <row r="27" spans="1:6" x14ac:dyDescent="0.2">
      <c r="A27" s="960" t="s">
        <v>94</v>
      </c>
      <c r="B27" s="973"/>
      <c r="C27" s="973"/>
      <c r="D27" s="973"/>
      <c r="E27" s="973">
        <f t="shared" si="2"/>
        <v>0</v>
      </c>
      <c r="F27" s="973"/>
    </row>
    <row r="28" spans="1:6" ht="27" x14ac:dyDescent="0.3">
      <c r="A28" s="960" t="s">
        <v>3</v>
      </c>
      <c r="B28" s="973">
        <v>0</v>
      </c>
      <c r="C28" s="984"/>
      <c r="D28" s="984"/>
      <c r="E28" s="973">
        <f t="shared" si="2"/>
        <v>0</v>
      </c>
      <c r="F28" s="973"/>
    </row>
    <row r="29" spans="1:6" ht="27" x14ac:dyDescent="0.3">
      <c r="A29" s="960" t="s">
        <v>8</v>
      </c>
      <c r="B29" s="973"/>
      <c r="C29" s="984"/>
      <c r="D29" s="984"/>
      <c r="E29" s="973">
        <f t="shared" si="2"/>
        <v>0</v>
      </c>
      <c r="F29" s="973"/>
    </row>
    <row r="30" spans="1:6" ht="15" x14ac:dyDescent="0.3">
      <c r="A30" s="960" t="s">
        <v>1</v>
      </c>
      <c r="B30" s="973"/>
      <c r="C30" s="984"/>
      <c r="D30" s="984"/>
      <c r="E30" s="973">
        <f t="shared" si="2"/>
        <v>0</v>
      </c>
      <c r="F30" s="973"/>
    </row>
    <row r="31" spans="1:6" ht="15" x14ac:dyDescent="0.3">
      <c r="A31" s="962" t="s">
        <v>5</v>
      </c>
      <c r="B31" s="973"/>
      <c r="C31" s="984"/>
      <c r="D31" s="984"/>
      <c r="E31" s="973">
        <f t="shared" si="2"/>
        <v>0</v>
      </c>
      <c r="F31" s="973"/>
    </row>
    <row r="32" spans="1:6" x14ac:dyDescent="0.2">
      <c r="A32" s="963" t="s">
        <v>38</v>
      </c>
      <c r="B32" s="979">
        <f>B24+B25+B26+B27+B28+B29+B30+B31</f>
        <v>277975</v>
      </c>
      <c r="C32" s="979">
        <f>C24+C25+C28+C31</f>
        <v>252735</v>
      </c>
      <c r="D32" s="979">
        <f t="shared" ref="D32" si="3">D24+D25+D28+D31</f>
        <v>0</v>
      </c>
      <c r="E32" s="979">
        <f>E24+E25+E28+E31</f>
        <v>252735</v>
      </c>
      <c r="F32" s="979">
        <f>F24+F25+F28+F31</f>
        <v>24881</v>
      </c>
    </row>
    <row r="33" spans="1:6" ht="15" x14ac:dyDescent="0.3">
      <c r="A33" s="964" t="s">
        <v>44</v>
      </c>
      <c r="B33" s="980"/>
      <c r="C33" s="985"/>
      <c r="D33" s="985"/>
      <c r="E33" s="985"/>
      <c r="F33" s="985"/>
    </row>
    <row r="34" spans="1:6" x14ac:dyDescent="0.2">
      <c r="A34" s="965" t="s">
        <v>45</v>
      </c>
      <c r="B34" s="981"/>
      <c r="C34" s="976"/>
      <c r="D34" s="976"/>
      <c r="E34" s="976"/>
      <c r="F34" s="976"/>
    </row>
    <row r="35" spans="1:6" x14ac:dyDescent="0.2">
      <c r="A35" s="966" t="s">
        <v>13</v>
      </c>
      <c r="B35" s="982"/>
      <c r="C35" s="977"/>
      <c r="D35" s="977"/>
      <c r="E35" s="977"/>
      <c r="F35" s="977"/>
    </row>
    <row r="36" spans="1:6" ht="31.15" customHeight="1" x14ac:dyDescent="0.3">
      <c r="A36" s="960" t="s">
        <v>41</v>
      </c>
      <c r="B36" s="973">
        <v>1125621</v>
      </c>
      <c r="C36" s="984"/>
      <c r="D36" s="984">
        <v>366422</v>
      </c>
      <c r="E36" s="984">
        <f>C36+D36</f>
        <v>366422</v>
      </c>
      <c r="F36" s="984">
        <v>366422</v>
      </c>
    </row>
    <row r="37" spans="1:6" ht="18.600000000000001" customHeight="1" x14ac:dyDescent="0.3">
      <c r="A37" s="960" t="s">
        <v>876</v>
      </c>
      <c r="B37" s="973">
        <v>1000000</v>
      </c>
      <c r="C37" s="984">
        <v>1000000</v>
      </c>
      <c r="D37" s="984"/>
      <c r="E37" s="984">
        <f>C37+D37</f>
        <v>1000000</v>
      </c>
      <c r="F37" s="984">
        <v>4600000</v>
      </c>
    </row>
    <row r="38" spans="1:6" ht="29.45" customHeight="1" x14ac:dyDescent="0.3">
      <c r="A38" s="960" t="s">
        <v>652</v>
      </c>
      <c r="B38" s="973"/>
      <c r="C38" s="984"/>
      <c r="D38" s="984"/>
      <c r="E38" s="984">
        <f>C38+D38</f>
        <v>0</v>
      </c>
      <c r="F38" s="984"/>
    </row>
    <row r="39" spans="1:6" ht="15" x14ac:dyDescent="0.3">
      <c r="A39" s="969" t="s">
        <v>14</v>
      </c>
      <c r="B39" s="973"/>
      <c r="C39" s="973"/>
      <c r="D39" s="973"/>
      <c r="E39" s="984">
        <f>C39+D39</f>
        <v>0</v>
      </c>
      <c r="F39" s="973"/>
    </row>
    <row r="40" spans="1:6" ht="15" x14ac:dyDescent="0.3">
      <c r="A40" s="969" t="s">
        <v>40</v>
      </c>
      <c r="B40" s="973"/>
      <c r="C40" s="973"/>
      <c r="D40" s="973"/>
      <c r="E40" s="984">
        <f>C40+D40</f>
        <v>0</v>
      </c>
      <c r="F40" s="973"/>
    </row>
    <row r="41" spans="1:6" ht="30" customHeight="1" x14ac:dyDescent="0.2">
      <c r="A41" s="970" t="s">
        <v>7</v>
      </c>
      <c r="B41" s="978">
        <f>B32+B33+B34+B35+B36+B37+B39+B40+B38</f>
        <v>2403596</v>
      </c>
      <c r="C41" s="978">
        <f>C32+C36+C38</f>
        <v>252735</v>
      </c>
      <c r="D41" s="978">
        <f>D32+D36+D37</f>
        <v>366422</v>
      </c>
      <c r="E41" s="978">
        <f>E32+E36+E37+E38</f>
        <v>1619157</v>
      </c>
      <c r="F41" s="978">
        <f>F32+F36+F37+F38</f>
        <v>4991303</v>
      </c>
    </row>
    <row r="42" spans="1:6" ht="30.75" customHeight="1" thickBot="1" x14ac:dyDescent="0.3">
      <c r="A42" s="971" t="s">
        <v>46</v>
      </c>
      <c r="B42" s="983">
        <f t="shared" ref="B42:F42" si="4">B23+B41</f>
        <v>2731503</v>
      </c>
      <c r="C42" s="983">
        <f t="shared" si="4"/>
        <v>577584</v>
      </c>
      <c r="D42" s="952">
        <f t="shared" si="4"/>
        <v>403984</v>
      </c>
      <c r="E42" s="952">
        <f t="shared" si="4"/>
        <v>1981568</v>
      </c>
      <c r="F42" s="952">
        <f t="shared" si="4"/>
        <v>5361426</v>
      </c>
    </row>
    <row r="43" spans="1:6" ht="15.75" x14ac:dyDescent="0.25">
      <c r="A43" s="1"/>
    </row>
    <row r="44" spans="1:6" ht="15.75" x14ac:dyDescent="0.25">
      <c r="A44" s="1"/>
    </row>
    <row r="45" spans="1:6" ht="15.75" x14ac:dyDescent="0.25">
      <c r="A45" s="1"/>
    </row>
    <row r="46" spans="1:6" ht="15.75" x14ac:dyDescent="0.25">
      <c r="A46" s="1"/>
    </row>
    <row r="47" spans="1:6" ht="15.75" x14ac:dyDescent="0.25">
      <c r="A47" s="1"/>
    </row>
    <row r="48" spans="1:6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" x14ac:dyDescent="0.3">
      <c r="A60" s="2"/>
    </row>
    <row r="61" spans="1:1" ht="15" x14ac:dyDescent="0.3">
      <c r="A61" s="2"/>
    </row>
    <row r="62" spans="1:1" ht="15" x14ac:dyDescent="0.3">
      <c r="A62" s="2"/>
    </row>
    <row r="63" spans="1:1" ht="15" x14ac:dyDescent="0.3">
      <c r="A63" s="2"/>
    </row>
    <row r="64" spans="1:1" ht="15" x14ac:dyDescent="0.3">
      <c r="A64" s="2"/>
    </row>
    <row r="65" spans="1:1" ht="15" x14ac:dyDescent="0.3">
      <c r="A65" s="2"/>
    </row>
    <row r="66" spans="1:1" ht="15" x14ac:dyDescent="0.3">
      <c r="A66" s="2"/>
    </row>
    <row r="67" spans="1:1" ht="15" x14ac:dyDescent="0.3">
      <c r="A67" s="2"/>
    </row>
    <row r="68" spans="1:1" ht="15" x14ac:dyDescent="0.3">
      <c r="A68" s="2"/>
    </row>
    <row r="69" spans="1:1" ht="15" x14ac:dyDescent="0.3">
      <c r="A69" s="2"/>
    </row>
    <row r="70" spans="1:1" ht="15" x14ac:dyDescent="0.3">
      <c r="A70" s="2"/>
    </row>
    <row r="71" spans="1:1" ht="15" x14ac:dyDescent="0.3">
      <c r="A71" s="2"/>
    </row>
    <row r="72" spans="1:1" ht="15" x14ac:dyDescent="0.3">
      <c r="A72" s="2"/>
    </row>
    <row r="73" spans="1:1" ht="15" x14ac:dyDescent="0.3">
      <c r="A73" s="2"/>
    </row>
    <row r="74" spans="1:1" ht="15" x14ac:dyDescent="0.3">
      <c r="A74" s="2"/>
    </row>
    <row r="75" spans="1:1" ht="15" x14ac:dyDescent="0.3">
      <c r="A75" s="2"/>
    </row>
    <row r="76" spans="1:1" ht="15" x14ac:dyDescent="0.3">
      <c r="A76" s="2"/>
    </row>
    <row r="77" spans="1:1" ht="15" x14ac:dyDescent="0.3">
      <c r="A77" s="2"/>
    </row>
    <row r="78" spans="1:1" ht="15" x14ac:dyDescent="0.3">
      <c r="A78" s="2"/>
    </row>
    <row r="79" spans="1:1" ht="15" x14ac:dyDescent="0.3">
      <c r="A79" s="2"/>
    </row>
    <row r="80" spans="1:1" ht="15" x14ac:dyDescent="0.3">
      <c r="A80" s="2"/>
    </row>
    <row r="81" spans="1:1" ht="15" x14ac:dyDescent="0.3">
      <c r="A81" s="2"/>
    </row>
    <row r="82" spans="1:1" ht="15" x14ac:dyDescent="0.3">
      <c r="A82" s="2"/>
    </row>
    <row r="83" spans="1:1" ht="15" x14ac:dyDescent="0.3">
      <c r="A83" s="2"/>
    </row>
    <row r="84" spans="1:1" ht="15" x14ac:dyDescent="0.3">
      <c r="A84" s="2"/>
    </row>
    <row r="85" spans="1:1" ht="15" x14ac:dyDescent="0.3">
      <c r="A85" s="2"/>
    </row>
    <row r="86" spans="1:1" ht="15" x14ac:dyDescent="0.3">
      <c r="A86" s="2"/>
    </row>
    <row r="87" spans="1:1" ht="15" x14ac:dyDescent="0.3">
      <c r="A87" s="2"/>
    </row>
    <row r="88" spans="1:1" ht="15" x14ac:dyDescent="0.3">
      <c r="A88" s="2"/>
    </row>
    <row r="89" spans="1:1" ht="15" x14ac:dyDescent="0.3">
      <c r="A89" s="2"/>
    </row>
    <row r="90" spans="1:1" ht="15" x14ac:dyDescent="0.3">
      <c r="A90" s="2"/>
    </row>
    <row r="91" spans="1:1" ht="15" x14ac:dyDescent="0.3">
      <c r="A91" s="2"/>
    </row>
    <row r="92" spans="1:1" ht="15" x14ac:dyDescent="0.3">
      <c r="A92" s="2"/>
    </row>
    <row r="93" spans="1:1" ht="15" x14ac:dyDescent="0.3">
      <c r="A93" s="2"/>
    </row>
    <row r="94" spans="1:1" ht="15" x14ac:dyDescent="0.3">
      <c r="A94" s="2"/>
    </row>
  </sheetData>
  <mergeCells count="2">
    <mergeCell ref="A1:E1"/>
    <mergeCell ref="A2:E2"/>
  </mergeCells>
  <phoneticPr fontId="9" type="noConversion"/>
  <pageMargins left="0.74803149606299213" right="0.74803149606299213" top="0.98425196850393704" bottom="0.98425196850393704" header="0.51181102362204722" footer="0.51181102362204722"/>
  <pageSetup paperSize="8" orientation="portrait" r:id="rId1"/>
  <headerFooter alignWithMargins="0">
    <oddHeader>&amp;R&amp;"Bookman Old Style,Normál"9. MELLÉKLET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IS40"/>
  <sheetViews>
    <sheetView topLeftCell="A16" workbookViewId="0">
      <selection activeCell="F9" sqref="F9"/>
    </sheetView>
  </sheetViews>
  <sheetFormatPr defaultColWidth="16.28515625" defaultRowHeight="12.75" x14ac:dyDescent="0.2"/>
  <cols>
    <col min="1" max="1" width="68.28515625" customWidth="1"/>
    <col min="2" max="2" width="16" customWidth="1"/>
    <col min="4" max="4" width="16.5703125" customWidth="1"/>
  </cols>
  <sheetData>
    <row r="1" spans="1:6" ht="15.75" customHeight="1" x14ac:dyDescent="0.25">
      <c r="A1" s="1039" t="s">
        <v>136</v>
      </c>
      <c r="B1" s="1011"/>
      <c r="C1" s="1011"/>
      <c r="D1" s="1011"/>
      <c r="E1" s="1011"/>
    </row>
    <row r="2" spans="1:6" ht="13.5" x14ac:dyDescent="0.25">
      <c r="A2" s="1039" t="s">
        <v>862</v>
      </c>
      <c r="B2" s="1011"/>
      <c r="C2" s="1011"/>
      <c r="D2" s="1011"/>
      <c r="E2" s="1011"/>
    </row>
    <row r="3" spans="1:6" ht="13.5" thickBot="1" x14ac:dyDescent="0.25"/>
    <row r="4" spans="1:6" ht="42" customHeight="1" x14ac:dyDescent="0.2">
      <c r="A4" s="463" t="s">
        <v>140</v>
      </c>
      <c r="B4" s="867" t="s">
        <v>863</v>
      </c>
      <c r="C4" s="865" t="s">
        <v>800</v>
      </c>
      <c r="D4" s="866" t="s">
        <v>859</v>
      </c>
      <c r="E4" s="866" t="s">
        <v>860</v>
      </c>
      <c r="F4" s="866" t="s">
        <v>861</v>
      </c>
    </row>
    <row r="5" spans="1:6" x14ac:dyDescent="0.2">
      <c r="A5" s="464" t="s">
        <v>31</v>
      </c>
      <c r="B5" s="477">
        <v>21690</v>
      </c>
      <c r="C5" s="472">
        <v>27707</v>
      </c>
      <c r="D5" s="458">
        <v>4374</v>
      </c>
      <c r="E5" s="458">
        <f t="shared" ref="E5:E24" si="0">C5+D5</f>
        <v>32081</v>
      </c>
      <c r="F5" s="458">
        <v>24732</v>
      </c>
    </row>
    <row r="6" spans="1:6" ht="18.600000000000001" customHeight="1" x14ac:dyDescent="0.2">
      <c r="A6" s="464" t="s">
        <v>27</v>
      </c>
      <c r="B6" s="477">
        <v>3979</v>
      </c>
      <c r="C6" s="472">
        <v>3132</v>
      </c>
      <c r="D6" s="458">
        <v>1099</v>
      </c>
      <c r="E6" s="458">
        <f t="shared" si="0"/>
        <v>4231</v>
      </c>
      <c r="F6" s="458">
        <v>2444</v>
      </c>
    </row>
    <row r="7" spans="1:6" x14ac:dyDescent="0.2">
      <c r="A7" s="464" t="s">
        <v>28</v>
      </c>
      <c r="B7" s="477">
        <v>60002</v>
      </c>
      <c r="C7" s="472">
        <v>50706</v>
      </c>
      <c r="D7" s="458">
        <v>4669</v>
      </c>
      <c r="E7" s="458">
        <v>11892</v>
      </c>
      <c r="F7" s="458">
        <v>6123</v>
      </c>
    </row>
    <row r="8" spans="1:6" ht="30.6" customHeight="1" x14ac:dyDescent="0.2">
      <c r="A8" s="464" t="s">
        <v>511</v>
      </c>
      <c r="B8" s="477">
        <v>19935</v>
      </c>
      <c r="C8" s="472">
        <v>70</v>
      </c>
      <c r="D8" s="458">
        <v>18431</v>
      </c>
      <c r="E8" s="458">
        <v>61984</v>
      </c>
      <c r="F8" s="458">
        <v>44406</v>
      </c>
    </row>
    <row r="9" spans="1:6" ht="45" customHeight="1" x14ac:dyDescent="0.2">
      <c r="A9" s="465" t="s">
        <v>660</v>
      </c>
      <c r="B9" s="477">
        <v>11622</v>
      </c>
      <c r="C9" s="472">
        <v>7572</v>
      </c>
      <c r="D9" s="458">
        <v>8989</v>
      </c>
      <c r="E9" s="458">
        <f t="shared" si="0"/>
        <v>16561</v>
      </c>
      <c r="F9" s="458">
        <v>4604</v>
      </c>
    </row>
    <row r="10" spans="1:6" x14ac:dyDescent="0.2">
      <c r="A10" s="464" t="s">
        <v>29</v>
      </c>
      <c r="B10" s="477"/>
      <c r="C10" s="472"/>
      <c r="D10" s="458"/>
      <c r="E10" s="458">
        <f t="shared" si="0"/>
        <v>0</v>
      </c>
      <c r="F10" s="458"/>
    </row>
    <row r="11" spans="1:6" x14ac:dyDescent="0.2">
      <c r="A11" s="464" t="s">
        <v>30</v>
      </c>
      <c r="B11" s="477"/>
      <c r="C11" s="472"/>
      <c r="D11" s="458"/>
      <c r="E11" s="458">
        <f t="shared" si="0"/>
        <v>0</v>
      </c>
      <c r="F11" s="458"/>
    </row>
    <row r="12" spans="1:6" ht="30" customHeight="1" x14ac:dyDescent="0.2">
      <c r="A12" s="466" t="s">
        <v>744</v>
      </c>
      <c r="B12" s="477">
        <v>1000</v>
      </c>
      <c r="C12" s="472">
        <v>55958</v>
      </c>
      <c r="D12" s="458"/>
      <c r="E12" s="458">
        <f t="shared" si="0"/>
        <v>55958</v>
      </c>
      <c r="F12" s="458">
        <v>55815</v>
      </c>
    </row>
    <row r="13" spans="1:6" x14ac:dyDescent="0.2">
      <c r="A13" s="466" t="s">
        <v>662</v>
      </c>
      <c r="B13" s="477"/>
      <c r="C13" s="472"/>
      <c r="D13" s="458"/>
      <c r="E13" s="458">
        <f t="shared" si="0"/>
        <v>0</v>
      </c>
      <c r="F13" s="458"/>
    </row>
    <row r="14" spans="1:6" ht="24" customHeight="1" x14ac:dyDescent="0.2">
      <c r="A14" s="466" t="s">
        <v>663</v>
      </c>
      <c r="B14" s="477"/>
      <c r="C14" s="472"/>
      <c r="D14" s="458"/>
      <c r="E14" s="458">
        <f t="shared" si="0"/>
        <v>0</v>
      </c>
      <c r="F14" s="458"/>
    </row>
    <row r="15" spans="1:6" ht="25.9" customHeight="1" x14ac:dyDescent="0.2">
      <c r="A15" s="466" t="s">
        <v>664</v>
      </c>
      <c r="B15" s="477"/>
      <c r="C15" s="472"/>
      <c r="D15" s="458"/>
      <c r="E15" s="458">
        <f t="shared" si="0"/>
        <v>0</v>
      </c>
      <c r="F15" s="458"/>
    </row>
    <row r="16" spans="1:6" ht="31.15" customHeight="1" x14ac:dyDescent="0.2">
      <c r="A16" s="467" t="s">
        <v>26</v>
      </c>
      <c r="B16" s="478"/>
      <c r="C16" s="473"/>
      <c r="D16" s="459"/>
      <c r="E16" s="458">
        <f t="shared" si="0"/>
        <v>0</v>
      </c>
      <c r="F16" s="459"/>
    </row>
    <row r="17" spans="1:253" x14ac:dyDescent="0.2">
      <c r="A17" s="468" t="s">
        <v>16</v>
      </c>
      <c r="B17" s="477">
        <v>347904</v>
      </c>
      <c r="C17" s="472">
        <v>70484</v>
      </c>
      <c r="D17" s="458"/>
      <c r="E17" s="458">
        <f t="shared" si="0"/>
        <v>70484</v>
      </c>
      <c r="F17" s="458">
        <v>0</v>
      </c>
    </row>
    <row r="18" spans="1:253" x14ac:dyDescent="0.2">
      <c r="A18" s="468" t="s">
        <v>17</v>
      </c>
      <c r="B18" s="477">
        <v>140000</v>
      </c>
      <c r="C18" s="472">
        <v>161045</v>
      </c>
      <c r="D18" s="458"/>
      <c r="E18" s="458">
        <f t="shared" si="0"/>
        <v>161045</v>
      </c>
      <c r="F18" s="458">
        <v>0</v>
      </c>
    </row>
    <row r="19" spans="1:253" ht="24.75" customHeight="1" x14ac:dyDescent="0.2">
      <c r="A19" s="469" t="s">
        <v>6</v>
      </c>
      <c r="B19" s="479">
        <f>SUM(B5:B18)</f>
        <v>606132</v>
      </c>
      <c r="C19" s="474">
        <f>SUM(C5:C18)</f>
        <v>376674</v>
      </c>
      <c r="D19" s="460">
        <f>SUM(D5:D18)</f>
        <v>37562</v>
      </c>
      <c r="E19" s="460">
        <f t="shared" si="0"/>
        <v>414236</v>
      </c>
      <c r="F19" s="460">
        <f>F5+F6+F7+F8+F9+F10+F11+F12+F13+F14+F15+F16+F17+F18</f>
        <v>138124</v>
      </c>
    </row>
    <row r="20" spans="1:253" ht="20.25" customHeight="1" x14ac:dyDescent="0.2">
      <c r="A20" s="464" t="s">
        <v>510</v>
      </c>
      <c r="B20" s="477">
        <v>775</v>
      </c>
      <c r="C20" s="472">
        <v>910</v>
      </c>
      <c r="D20" s="458">
        <v>426</v>
      </c>
      <c r="E20" s="458">
        <f t="shared" si="0"/>
        <v>1336</v>
      </c>
      <c r="F20" s="458">
        <v>521</v>
      </c>
      <c r="H20" s="54"/>
    </row>
    <row r="21" spans="1:253" ht="20.25" customHeight="1" x14ac:dyDescent="0.2">
      <c r="A21" s="772" t="s">
        <v>745</v>
      </c>
      <c r="B21" s="773"/>
      <c r="C21" s="774"/>
      <c r="D21" s="771"/>
      <c r="E21" s="458">
        <f t="shared" si="0"/>
        <v>0</v>
      </c>
      <c r="F21" s="771"/>
      <c r="H21" s="54"/>
    </row>
    <row r="22" spans="1:253" x14ac:dyDescent="0.2">
      <c r="A22" s="464" t="s">
        <v>19</v>
      </c>
      <c r="B22" s="477"/>
      <c r="C22" s="472"/>
      <c r="D22" s="458"/>
      <c r="E22" s="458">
        <f t="shared" si="0"/>
        <v>0</v>
      </c>
      <c r="F22" s="458"/>
    </row>
    <row r="23" spans="1:253" x14ac:dyDescent="0.2">
      <c r="A23" s="464" t="s">
        <v>21</v>
      </c>
      <c r="B23" s="477"/>
      <c r="C23" s="472"/>
      <c r="D23" s="458"/>
      <c r="E23" s="458">
        <f t="shared" si="0"/>
        <v>0</v>
      </c>
      <c r="F23" s="458"/>
    </row>
    <row r="24" spans="1:253" ht="38.25" x14ac:dyDescent="0.2">
      <c r="A24" s="775" t="s">
        <v>681</v>
      </c>
      <c r="B24" s="773"/>
      <c r="C24" s="774"/>
      <c r="D24" s="771"/>
      <c r="E24" s="458">
        <f t="shared" si="0"/>
        <v>0</v>
      </c>
      <c r="F24" s="771"/>
    </row>
    <row r="25" spans="1:253" x14ac:dyDescent="0.2">
      <c r="A25" s="466" t="s">
        <v>746</v>
      </c>
      <c r="B25" s="477"/>
      <c r="C25" s="472"/>
      <c r="D25" s="458"/>
      <c r="E25" s="458">
        <f>C25+D25+G24</f>
        <v>0</v>
      </c>
      <c r="F25" s="458"/>
    </row>
    <row r="26" spans="1:253" x14ac:dyDescent="0.2">
      <c r="A26" s="466" t="s">
        <v>665</v>
      </c>
      <c r="B26" s="477"/>
      <c r="C26" s="472"/>
      <c r="D26" s="458"/>
      <c r="E26" s="458">
        <f t="shared" ref="E26:E38" si="1">C26+D26</f>
        <v>0</v>
      </c>
      <c r="F26" s="458"/>
    </row>
    <row r="27" spans="1:253" ht="27" customHeight="1" x14ac:dyDescent="0.2">
      <c r="A27" s="466" t="s">
        <v>666</v>
      </c>
      <c r="B27" s="477"/>
      <c r="C27" s="472"/>
      <c r="D27" s="458"/>
      <c r="E27" s="458">
        <f t="shared" si="1"/>
        <v>0</v>
      </c>
      <c r="F27" s="458"/>
    </row>
    <row r="28" spans="1:253" ht="15" customHeight="1" x14ac:dyDescent="0.2">
      <c r="A28" s="466" t="s">
        <v>667</v>
      </c>
      <c r="B28" s="477">
        <v>1125596</v>
      </c>
      <c r="C28" s="472">
        <v>0</v>
      </c>
      <c r="D28" s="458">
        <v>365996</v>
      </c>
      <c r="E28" s="458">
        <f t="shared" si="1"/>
        <v>365996</v>
      </c>
      <c r="F28" s="458">
        <v>0</v>
      </c>
    </row>
    <row r="29" spans="1:253" x14ac:dyDescent="0.2">
      <c r="A29" s="468" t="s">
        <v>33</v>
      </c>
      <c r="B29" s="477"/>
      <c r="C29" s="472"/>
      <c r="D29" s="458"/>
      <c r="E29" s="458">
        <f t="shared" si="1"/>
        <v>0</v>
      </c>
      <c r="F29" s="458">
        <v>0</v>
      </c>
    </row>
    <row r="30" spans="1:253" x14ac:dyDescent="0.2">
      <c r="A30" s="468" t="s">
        <v>32</v>
      </c>
      <c r="B30" s="477"/>
      <c r="C30" s="472"/>
      <c r="D30" s="458"/>
      <c r="E30" s="458">
        <f t="shared" si="1"/>
        <v>0</v>
      </c>
      <c r="F30" s="458"/>
    </row>
    <row r="31" spans="1:253" ht="24.75" customHeight="1" x14ac:dyDescent="0.3">
      <c r="A31" s="468" t="s">
        <v>499</v>
      </c>
      <c r="B31" s="477">
        <v>1000000</v>
      </c>
      <c r="C31" s="472">
        <v>1200000</v>
      </c>
      <c r="D31" s="458"/>
      <c r="E31" s="458">
        <f t="shared" si="1"/>
        <v>1200000</v>
      </c>
      <c r="F31" s="458">
        <v>3600000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</row>
    <row r="32" spans="1:253" ht="29.25" customHeight="1" x14ac:dyDescent="0.3">
      <c r="A32" s="468" t="s">
        <v>661</v>
      </c>
      <c r="B32" s="477"/>
      <c r="C32" s="472"/>
      <c r="D32" s="458"/>
      <c r="E32" s="458">
        <f t="shared" si="1"/>
        <v>0</v>
      </c>
      <c r="F32" s="458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</row>
    <row r="33" spans="1:6" x14ac:dyDescent="0.2">
      <c r="A33" s="470" t="s">
        <v>499</v>
      </c>
      <c r="B33" s="477"/>
      <c r="C33" s="472"/>
      <c r="D33" s="458"/>
      <c r="E33" s="458">
        <f t="shared" si="1"/>
        <v>0</v>
      </c>
      <c r="F33" s="458"/>
    </row>
    <row r="34" spans="1:6" x14ac:dyDescent="0.2">
      <c r="A34" s="470" t="s">
        <v>24</v>
      </c>
      <c r="B34" s="477"/>
      <c r="C34" s="472"/>
      <c r="D34" s="458"/>
      <c r="E34" s="458">
        <f t="shared" si="1"/>
        <v>0</v>
      </c>
      <c r="F34" s="458"/>
    </row>
    <row r="35" spans="1:6" x14ac:dyDescent="0.2">
      <c r="A35" s="470" t="s">
        <v>23</v>
      </c>
      <c r="B35" s="477"/>
      <c r="C35" s="472"/>
      <c r="D35" s="458"/>
      <c r="E35" s="458">
        <f t="shared" si="1"/>
        <v>0</v>
      </c>
      <c r="F35" s="458"/>
    </row>
    <row r="36" spans="1:6" ht="24" customHeight="1" x14ac:dyDescent="0.2">
      <c r="A36" s="469" t="s">
        <v>7</v>
      </c>
      <c r="B36" s="479">
        <f>SUM(B20:B35)</f>
        <v>2126371</v>
      </c>
      <c r="C36" s="475">
        <f>SUM(C20:C35)</f>
        <v>1200910</v>
      </c>
      <c r="D36" s="461">
        <f>SUM(D20:D35)</f>
        <v>366422</v>
      </c>
      <c r="E36" s="461">
        <f t="shared" si="1"/>
        <v>1567332</v>
      </c>
      <c r="F36" s="461">
        <f>F20+F22+F23+F25+F26+F27+F28+F29+F30+F31+F32+F33+F34+F35+F21</f>
        <v>3600521</v>
      </c>
    </row>
    <row r="37" spans="1:6" ht="36" customHeight="1" thickBot="1" x14ac:dyDescent="0.25">
      <c r="A37" s="471" t="s">
        <v>18</v>
      </c>
      <c r="B37" s="480">
        <f>B19+B36</f>
        <v>2732503</v>
      </c>
      <c r="C37" s="476">
        <f>C19+C36</f>
        <v>1577584</v>
      </c>
      <c r="D37" s="462">
        <f>D19+D36</f>
        <v>403984</v>
      </c>
      <c r="E37" s="462">
        <f t="shared" si="1"/>
        <v>1981568</v>
      </c>
      <c r="F37" s="462">
        <f>F19+F36</f>
        <v>3738645</v>
      </c>
    </row>
    <row r="38" spans="1:6" ht="15.75" x14ac:dyDescent="0.25">
      <c r="C38" s="305"/>
      <c r="D38" s="305"/>
      <c r="E38" s="205">
        <f t="shared" si="1"/>
        <v>0</v>
      </c>
    </row>
    <row r="40" spans="1:6" x14ac:dyDescent="0.2">
      <c r="C40" s="35"/>
    </row>
  </sheetData>
  <mergeCells count="2">
    <mergeCell ref="A1:E1"/>
    <mergeCell ref="A2:E2"/>
  </mergeCells>
  <phoneticPr fontId="0" type="noConversion"/>
  <pageMargins left="0.75" right="0.75" top="1" bottom="1" header="0.5" footer="0.5"/>
  <pageSetup paperSize="8" scale="99" orientation="portrait" r:id="rId1"/>
  <headerFooter alignWithMargins="0">
    <oddHeader>&amp;R&amp;"Bookman Old Style,Normál"10. MELLÉKLET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117"/>
  <sheetViews>
    <sheetView topLeftCell="C51" workbookViewId="0">
      <selection activeCell="M53" sqref="M53"/>
    </sheetView>
  </sheetViews>
  <sheetFormatPr defaultRowHeight="12.75" x14ac:dyDescent="0.2"/>
  <cols>
    <col min="1" max="1" width="61.42578125" customWidth="1"/>
    <col min="2" max="2" width="10.42578125" customWidth="1"/>
    <col min="3" max="3" width="10" customWidth="1"/>
    <col min="4" max="4" width="12.140625" customWidth="1"/>
    <col min="5" max="5" width="15.7109375" customWidth="1"/>
    <col min="6" max="6" width="11.42578125" customWidth="1"/>
    <col min="7" max="7" width="9.5703125" customWidth="1"/>
    <col min="8" max="8" width="18.28515625" customWidth="1"/>
    <col min="9" max="9" width="12.28515625" customWidth="1"/>
    <col min="10" max="10" width="13.85546875" customWidth="1"/>
    <col min="11" max="11" width="11.42578125" customWidth="1"/>
    <col min="12" max="12" width="17.5703125" customWidth="1"/>
    <col min="13" max="13" width="15.140625" customWidth="1"/>
    <col min="14" max="14" width="15.5703125" customWidth="1"/>
  </cols>
  <sheetData>
    <row r="1" spans="1:17" ht="15.75" x14ac:dyDescent="0.25">
      <c r="A1" s="1039" t="s">
        <v>136</v>
      </c>
      <c r="B1" s="1040"/>
      <c r="C1" s="1042"/>
      <c r="D1" s="1042"/>
      <c r="E1" s="1042"/>
      <c r="F1" s="1042"/>
      <c r="G1" s="1042"/>
      <c r="H1" s="1042"/>
      <c r="I1" s="1042"/>
      <c r="J1" s="1042"/>
      <c r="K1" s="1042"/>
      <c r="L1" s="1042"/>
      <c r="M1" s="1042"/>
      <c r="N1" s="1042"/>
    </row>
    <row r="2" spans="1:17" ht="15.75" x14ac:dyDescent="0.25">
      <c r="A2" s="1039" t="s">
        <v>138</v>
      </c>
      <c r="B2" s="1039"/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</row>
    <row r="3" spans="1:17" ht="1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7" ht="18" x14ac:dyDescent="0.25">
      <c r="A4" s="14" t="s">
        <v>47</v>
      </c>
      <c r="B4" s="30" t="s">
        <v>102</v>
      </c>
      <c r="C4" s="30" t="s">
        <v>103</v>
      </c>
      <c r="D4" s="30" t="s">
        <v>104</v>
      </c>
      <c r="E4" s="30" t="s">
        <v>105</v>
      </c>
      <c r="F4" s="30" t="s">
        <v>106</v>
      </c>
      <c r="G4" s="30" t="s">
        <v>107</v>
      </c>
      <c r="H4" s="30" t="s">
        <v>108</v>
      </c>
      <c r="I4" s="30" t="s">
        <v>109</v>
      </c>
      <c r="J4" s="30" t="s">
        <v>110</v>
      </c>
      <c r="K4" s="30" t="s">
        <v>111</v>
      </c>
      <c r="L4" s="30" t="s">
        <v>112</v>
      </c>
      <c r="M4" s="30" t="s">
        <v>113</v>
      </c>
      <c r="N4" s="32" t="s">
        <v>61</v>
      </c>
    </row>
    <row r="5" spans="1:17" ht="16.5" x14ac:dyDescent="0.3">
      <c r="A5" s="18" t="s">
        <v>31</v>
      </c>
      <c r="B5" s="17">
        <v>632</v>
      </c>
      <c r="C5" s="17">
        <v>632</v>
      </c>
      <c r="D5" s="17">
        <v>633</v>
      </c>
      <c r="E5" s="17">
        <v>733</v>
      </c>
      <c r="F5" s="17">
        <v>633</v>
      </c>
      <c r="G5" s="17">
        <v>633</v>
      </c>
      <c r="H5" s="17">
        <v>633</v>
      </c>
      <c r="I5" s="17">
        <v>633</v>
      </c>
      <c r="J5" s="17">
        <v>633</v>
      </c>
      <c r="K5" s="17">
        <v>733</v>
      </c>
      <c r="L5" s="17">
        <v>600</v>
      </c>
      <c r="M5" s="17">
        <v>872</v>
      </c>
      <c r="N5" s="17">
        <f>SUM(B5:M5)</f>
        <v>8000</v>
      </c>
      <c r="P5" s="2"/>
      <c r="Q5" s="2"/>
    </row>
    <row r="6" spans="1:17" ht="32.25" x14ac:dyDescent="0.3">
      <c r="A6" s="18" t="s">
        <v>27</v>
      </c>
      <c r="B6" s="17">
        <v>150</v>
      </c>
      <c r="C6" s="17">
        <v>150</v>
      </c>
      <c r="D6" s="17">
        <v>150</v>
      </c>
      <c r="E6" s="17">
        <v>200</v>
      </c>
      <c r="F6" s="17">
        <v>150</v>
      </c>
      <c r="G6" s="17">
        <v>150</v>
      </c>
      <c r="H6" s="17">
        <v>200</v>
      </c>
      <c r="I6" s="17">
        <v>200</v>
      </c>
      <c r="J6" s="17">
        <v>150</v>
      </c>
      <c r="K6" s="17">
        <v>150</v>
      </c>
      <c r="L6" s="17">
        <v>150</v>
      </c>
      <c r="M6" s="17">
        <v>200</v>
      </c>
      <c r="N6" s="17">
        <f t="shared" ref="N6:N31" si="0">SUM(B6:M6)</f>
        <v>2000</v>
      </c>
      <c r="P6" s="2"/>
    </row>
    <row r="7" spans="1:17" ht="16.5" x14ac:dyDescent="0.3">
      <c r="A7" s="18" t="s">
        <v>28</v>
      </c>
      <c r="B7" s="17">
        <v>1133</v>
      </c>
      <c r="C7" s="17">
        <v>1133</v>
      </c>
      <c r="D7" s="17">
        <v>1133</v>
      </c>
      <c r="E7" s="17">
        <v>1133</v>
      </c>
      <c r="F7" s="17">
        <v>1133</v>
      </c>
      <c r="G7" s="17">
        <v>1133</v>
      </c>
      <c r="H7" s="17">
        <v>1133</v>
      </c>
      <c r="I7" s="17">
        <v>1133</v>
      </c>
      <c r="J7" s="17">
        <v>1133</v>
      </c>
      <c r="K7" s="17">
        <v>1133</v>
      </c>
      <c r="L7" s="17">
        <v>883</v>
      </c>
      <c r="M7" s="17">
        <v>2267</v>
      </c>
      <c r="N7" s="17">
        <f t="shared" si="0"/>
        <v>14480</v>
      </c>
      <c r="P7" s="2"/>
    </row>
    <row r="8" spans="1:17" ht="32.25" x14ac:dyDescent="0.3">
      <c r="A8" s="18" t="s">
        <v>150</v>
      </c>
      <c r="B8" s="17">
        <v>2563</v>
      </c>
      <c r="C8" s="17"/>
      <c r="D8" s="17"/>
      <c r="E8" s="17">
        <v>2563</v>
      </c>
      <c r="F8" s="17"/>
      <c r="G8" s="17"/>
      <c r="H8" s="17">
        <v>2563</v>
      </c>
      <c r="I8" s="17"/>
      <c r="J8" s="17"/>
      <c r="K8" s="17">
        <v>2566</v>
      </c>
      <c r="L8" s="17"/>
      <c r="M8" s="17"/>
      <c r="N8" s="17">
        <f>SUM(B8:M8)</f>
        <v>10255</v>
      </c>
      <c r="P8" s="2"/>
    </row>
    <row r="9" spans="1:17" ht="16.5" x14ac:dyDescent="0.3">
      <c r="A9" s="18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>
        <f t="shared" si="0"/>
        <v>0</v>
      </c>
    </row>
    <row r="10" spans="1:17" ht="16.5" x14ac:dyDescent="0.3">
      <c r="A10" s="18" t="s">
        <v>30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>
        <f t="shared" si="0"/>
        <v>0</v>
      </c>
    </row>
    <row r="11" spans="1:17" ht="48" x14ac:dyDescent="0.3">
      <c r="A11" s="8" t="s">
        <v>48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>
        <f t="shared" si="0"/>
        <v>0</v>
      </c>
    </row>
    <row r="12" spans="1:17" ht="16.5" x14ac:dyDescent="0.3">
      <c r="A12" s="8" t="s">
        <v>49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 t="shared" si="0"/>
        <v>0</v>
      </c>
    </row>
    <row r="13" spans="1:17" ht="32.25" x14ac:dyDescent="0.3">
      <c r="A13" s="8" t="s">
        <v>50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si="0"/>
        <v>0</v>
      </c>
    </row>
    <row r="14" spans="1:17" ht="32.25" x14ac:dyDescent="0.3">
      <c r="A14" s="8" t="s">
        <v>51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1:17" ht="32.25" x14ac:dyDescent="0.3">
      <c r="A15" s="15" t="s">
        <v>26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</row>
    <row r="16" spans="1:17" ht="16.5" x14ac:dyDescent="0.3">
      <c r="A16" s="3" t="s">
        <v>16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0"/>
        <v>0</v>
      </c>
    </row>
    <row r="17" spans="1:14" ht="16.5" x14ac:dyDescent="0.3">
      <c r="A17" s="3" t="s">
        <v>17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0"/>
        <v>0</v>
      </c>
    </row>
    <row r="18" spans="1:14" ht="15.75" x14ac:dyDescent="0.25">
      <c r="A18" s="31" t="s">
        <v>6</v>
      </c>
      <c r="B18" s="30">
        <f>SUM(B5:B17)</f>
        <v>4478</v>
      </c>
      <c r="C18" s="30">
        <f t="shared" ref="C18:M18" si="1">SUM(C5:C17)</f>
        <v>1915</v>
      </c>
      <c r="D18" s="30">
        <f t="shared" si="1"/>
        <v>1916</v>
      </c>
      <c r="E18" s="30">
        <f t="shared" si="1"/>
        <v>4629</v>
      </c>
      <c r="F18" s="30">
        <f t="shared" si="1"/>
        <v>1916</v>
      </c>
      <c r="G18" s="30">
        <f t="shared" si="1"/>
        <v>1916</v>
      </c>
      <c r="H18" s="30">
        <f t="shared" si="1"/>
        <v>4529</v>
      </c>
      <c r="I18" s="30">
        <f t="shared" si="1"/>
        <v>1966</v>
      </c>
      <c r="J18" s="30">
        <f t="shared" si="1"/>
        <v>1916</v>
      </c>
      <c r="K18" s="30">
        <f t="shared" si="1"/>
        <v>4582</v>
      </c>
      <c r="L18" s="30">
        <f t="shared" si="1"/>
        <v>1633</v>
      </c>
      <c r="M18" s="30">
        <f t="shared" si="1"/>
        <v>3339</v>
      </c>
      <c r="N18" s="36">
        <f>SUM(B18:M18)</f>
        <v>34735</v>
      </c>
    </row>
    <row r="19" spans="1:14" ht="16.5" x14ac:dyDescent="0.3">
      <c r="A19" s="18" t="s">
        <v>20</v>
      </c>
      <c r="B19" s="17">
        <v>1401</v>
      </c>
      <c r="C19" s="17">
        <v>65910</v>
      </c>
      <c r="D19" s="17">
        <v>24930</v>
      </c>
      <c r="E19" s="17"/>
      <c r="F19" s="17">
        <v>2014</v>
      </c>
      <c r="G19" s="17">
        <v>964</v>
      </c>
      <c r="H19" s="17">
        <f>205898+773618</f>
        <v>979516</v>
      </c>
      <c r="I19" s="17">
        <v>1483</v>
      </c>
      <c r="J19" s="17">
        <v>964</v>
      </c>
      <c r="K19" s="17">
        <v>998</v>
      </c>
      <c r="L19" s="17">
        <v>1128593</v>
      </c>
      <c r="M19" s="17"/>
      <c r="N19" s="17">
        <f t="shared" si="0"/>
        <v>2206773</v>
      </c>
    </row>
    <row r="20" spans="1:14" ht="16.5" x14ac:dyDescent="0.3">
      <c r="A20" s="18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f t="shared" si="0"/>
        <v>0</v>
      </c>
    </row>
    <row r="21" spans="1:14" ht="16.5" x14ac:dyDescent="0.3">
      <c r="A21" s="18" t="s">
        <v>21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f t="shared" si="0"/>
        <v>0</v>
      </c>
    </row>
    <row r="22" spans="1:14" ht="63.75" x14ac:dyDescent="0.3">
      <c r="A22" s="8" t="s">
        <v>52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>
        <f t="shared" si="0"/>
        <v>0</v>
      </c>
    </row>
    <row r="23" spans="1:14" ht="16.5" x14ac:dyDescent="0.3">
      <c r="A23" s="8" t="s">
        <v>53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>
        <f t="shared" si="0"/>
        <v>0</v>
      </c>
    </row>
    <row r="24" spans="1:14" ht="32.25" x14ac:dyDescent="0.3">
      <c r="A24" s="8" t="s">
        <v>54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f t="shared" si="0"/>
        <v>0</v>
      </c>
    </row>
    <row r="25" spans="1:14" ht="32.25" x14ac:dyDescent="0.3">
      <c r="A25" s="8" t="s">
        <v>55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>
        <f t="shared" si="0"/>
        <v>0</v>
      </c>
    </row>
    <row r="26" spans="1:14" ht="16.5" x14ac:dyDescent="0.3">
      <c r="A26" s="3" t="s">
        <v>33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>
        <f t="shared" si="0"/>
        <v>0</v>
      </c>
    </row>
    <row r="27" spans="1:14" ht="16.5" x14ac:dyDescent="0.3">
      <c r="A27" s="3" t="s">
        <v>32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>
        <v>6319</v>
      </c>
      <c r="N27" s="17">
        <f t="shared" si="0"/>
        <v>6319</v>
      </c>
    </row>
    <row r="28" spans="1:14" ht="32.25" x14ac:dyDescent="0.3">
      <c r="A28" s="16" t="s">
        <v>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>
        <f t="shared" si="0"/>
        <v>0</v>
      </c>
    </row>
    <row r="29" spans="1:14" ht="16.5" x14ac:dyDescent="0.3">
      <c r="A29" s="5" t="s">
        <v>22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>
        <f t="shared" si="0"/>
        <v>0</v>
      </c>
    </row>
    <row r="30" spans="1:14" ht="16.5" x14ac:dyDescent="0.3">
      <c r="A30" s="5" t="s">
        <v>24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>
        <f t="shared" si="0"/>
        <v>0</v>
      </c>
    </row>
    <row r="31" spans="1:14" ht="16.5" x14ac:dyDescent="0.3">
      <c r="A31" s="5" t="s">
        <v>23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>
        <f t="shared" si="0"/>
        <v>0</v>
      </c>
    </row>
    <row r="32" spans="1:14" ht="15.75" x14ac:dyDescent="0.25">
      <c r="A32" s="31" t="s">
        <v>7</v>
      </c>
      <c r="B32" s="30">
        <f>SUM(B19:B31)</f>
        <v>1401</v>
      </c>
      <c r="C32" s="30">
        <f t="shared" ref="C32:M32" si="2">SUM(C19:C31)</f>
        <v>65910</v>
      </c>
      <c r="D32" s="30">
        <f t="shared" si="2"/>
        <v>24930</v>
      </c>
      <c r="E32" s="30">
        <f t="shared" si="2"/>
        <v>0</v>
      </c>
      <c r="F32" s="30">
        <f t="shared" si="2"/>
        <v>2014</v>
      </c>
      <c r="G32" s="30">
        <f t="shared" si="2"/>
        <v>964</v>
      </c>
      <c r="H32" s="30">
        <f t="shared" si="2"/>
        <v>979516</v>
      </c>
      <c r="I32" s="30">
        <f t="shared" si="2"/>
        <v>1483</v>
      </c>
      <c r="J32" s="30">
        <f t="shared" si="2"/>
        <v>964</v>
      </c>
      <c r="K32" s="30">
        <f t="shared" si="2"/>
        <v>998</v>
      </c>
      <c r="L32" s="30">
        <f t="shared" si="2"/>
        <v>1128593</v>
      </c>
      <c r="M32" s="30">
        <f t="shared" si="2"/>
        <v>6319</v>
      </c>
      <c r="N32" s="37">
        <f>SUM(B32:M32)</f>
        <v>2213092</v>
      </c>
    </row>
    <row r="33" spans="1:14" ht="18" x14ac:dyDescent="0.25">
      <c r="A33" s="19" t="s">
        <v>18</v>
      </c>
      <c r="B33" s="13">
        <f>SUM(B32,B18)</f>
        <v>5879</v>
      </c>
      <c r="C33" s="13">
        <f t="shared" ref="C33:N33" si="3">SUM(C32,C18)</f>
        <v>67825</v>
      </c>
      <c r="D33" s="13">
        <f t="shared" si="3"/>
        <v>26846</v>
      </c>
      <c r="E33" s="13">
        <f t="shared" si="3"/>
        <v>4629</v>
      </c>
      <c r="F33" s="13">
        <f t="shared" si="3"/>
        <v>3930</v>
      </c>
      <c r="G33" s="13">
        <f t="shared" si="3"/>
        <v>2880</v>
      </c>
      <c r="H33" s="13">
        <f t="shared" si="3"/>
        <v>984045</v>
      </c>
      <c r="I33" s="13">
        <f t="shared" si="3"/>
        <v>3449</v>
      </c>
      <c r="J33" s="13">
        <f t="shared" si="3"/>
        <v>2880</v>
      </c>
      <c r="K33" s="13">
        <f t="shared" si="3"/>
        <v>5580</v>
      </c>
      <c r="L33" s="13">
        <f t="shared" si="3"/>
        <v>1130226</v>
      </c>
      <c r="M33" s="13">
        <f t="shared" si="3"/>
        <v>9658</v>
      </c>
      <c r="N33" s="38">
        <f t="shared" si="3"/>
        <v>2247827</v>
      </c>
    </row>
    <row r="34" spans="1:14" ht="16.5" x14ac:dyDescent="0.3">
      <c r="A34" s="8" t="s">
        <v>34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>
        <f t="shared" ref="N34:N66" si="4">SUM(B34:M34)</f>
        <v>0</v>
      </c>
    </row>
    <row r="35" spans="1:14" ht="16.5" x14ac:dyDescent="0.3">
      <c r="A35" s="8" t="s">
        <v>139</v>
      </c>
      <c r="B35" s="17"/>
      <c r="C35" s="17"/>
      <c r="D35" s="17">
        <v>751</v>
      </c>
      <c r="E35" s="17"/>
      <c r="F35" s="17"/>
      <c r="G35" s="17">
        <v>754</v>
      </c>
      <c r="H35" s="17"/>
      <c r="I35" s="17"/>
      <c r="J35" s="17">
        <v>754</v>
      </c>
      <c r="K35" s="17"/>
      <c r="L35" s="17"/>
      <c r="M35" s="17">
        <v>754</v>
      </c>
      <c r="N35" s="17">
        <v>3013</v>
      </c>
    </row>
    <row r="36" spans="1:14" ht="16.5" x14ac:dyDescent="0.3">
      <c r="A36" s="8" t="s">
        <v>35</v>
      </c>
      <c r="B36" s="17">
        <v>1788</v>
      </c>
      <c r="C36" s="17">
        <v>1789</v>
      </c>
      <c r="D36" s="17">
        <v>1788</v>
      </c>
      <c r="E36" s="17">
        <v>1789</v>
      </c>
      <c r="F36" s="17">
        <v>1788</v>
      </c>
      <c r="G36" s="17">
        <v>1789</v>
      </c>
      <c r="H36" s="17">
        <v>1788</v>
      </c>
      <c r="I36" s="17">
        <v>1790</v>
      </c>
      <c r="J36" s="17">
        <v>1789</v>
      </c>
      <c r="K36" s="17">
        <v>1790</v>
      </c>
      <c r="L36" s="17">
        <v>1789</v>
      </c>
      <c r="M36" s="17">
        <v>1790</v>
      </c>
      <c r="N36" s="17">
        <f t="shared" si="4"/>
        <v>21467</v>
      </c>
    </row>
    <row r="37" spans="1:14" ht="16.5" x14ac:dyDescent="0.3">
      <c r="A37" s="8" t="s">
        <v>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>
        <f t="shared" si="4"/>
        <v>0</v>
      </c>
    </row>
    <row r="38" spans="1:14" ht="32.25" x14ac:dyDescent="0.3">
      <c r="A38" s="8" t="s">
        <v>157</v>
      </c>
      <c r="B38" s="17"/>
      <c r="C38" s="17"/>
      <c r="D38" s="17"/>
      <c r="E38" s="17">
        <v>545</v>
      </c>
      <c r="F38" s="17"/>
      <c r="G38" s="17"/>
      <c r="H38" s="17"/>
      <c r="I38" s="17">
        <v>545</v>
      </c>
      <c r="J38" s="17"/>
      <c r="K38" s="17">
        <v>545</v>
      </c>
      <c r="L38" s="17"/>
      <c r="M38" s="17">
        <v>545</v>
      </c>
      <c r="N38" s="17">
        <f>SUM(B38:M38)</f>
        <v>2180</v>
      </c>
    </row>
    <row r="39" spans="1:14" ht="16.5" x14ac:dyDescent="0.3">
      <c r="A39" s="8" t="s">
        <v>58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>
        <f t="shared" si="4"/>
        <v>0</v>
      </c>
    </row>
    <row r="40" spans="1:14" ht="15.75" x14ac:dyDescent="0.3">
      <c r="A40" s="6" t="s">
        <v>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>
        <f t="shared" si="4"/>
        <v>0</v>
      </c>
    </row>
    <row r="41" spans="1:14" ht="15.75" x14ac:dyDescent="0.3">
      <c r="A41" s="6" t="s">
        <v>10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>
        <f t="shared" si="4"/>
        <v>0</v>
      </c>
    </row>
    <row r="42" spans="1:14" ht="15.75" x14ac:dyDescent="0.3">
      <c r="A42" s="6" t="s">
        <v>11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>
        <f t="shared" si="4"/>
        <v>0</v>
      </c>
    </row>
    <row r="43" spans="1:14" ht="63.75" x14ac:dyDescent="0.3">
      <c r="A43" s="8" t="s">
        <v>0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>
        <f t="shared" si="4"/>
        <v>0</v>
      </c>
    </row>
    <row r="44" spans="1:14" ht="16.5" x14ac:dyDescent="0.3">
      <c r="A44" s="9" t="s">
        <v>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>
        <f t="shared" si="4"/>
        <v>0</v>
      </c>
    </row>
    <row r="45" spans="1:14" ht="48" x14ac:dyDescent="0.3">
      <c r="A45" s="8" t="s">
        <v>3</v>
      </c>
      <c r="B45" s="17"/>
      <c r="C45" s="17"/>
      <c r="D45" s="17">
        <v>2018</v>
      </c>
      <c r="E45" s="17"/>
      <c r="F45" s="17"/>
      <c r="G45" s="17"/>
      <c r="H45" s="17">
        <v>2019</v>
      </c>
      <c r="I45" s="17"/>
      <c r="J45" s="17"/>
      <c r="K45" s="17">
        <v>2018</v>
      </c>
      <c r="L45" s="17"/>
      <c r="M45" s="17">
        <v>2020</v>
      </c>
      <c r="N45" s="17">
        <f>SUM(B45:M45)</f>
        <v>8075</v>
      </c>
    </row>
    <row r="46" spans="1:14" ht="16.5" x14ac:dyDescent="0.3">
      <c r="A46" s="4" t="s">
        <v>39</v>
      </c>
      <c r="B46" s="17">
        <f>SUM(B34:B45)</f>
        <v>1788</v>
      </c>
      <c r="C46" s="17">
        <f t="shared" ref="C46:H46" si="5">SUM(C34:C45)</f>
        <v>1789</v>
      </c>
      <c r="D46" s="17">
        <f t="shared" si="5"/>
        <v>4557</v>
      </c>
      <c r="E46" s="17">
        <f t="shared" si="5"/>
        <v>2334</v>
      </c>
      <c r="F46" s="17">
        <f t="shared" si="5"/>
        <v>1788</v>
      </c>
      <c r="G46" s="17">
        <f t="shared" si="5"/>
        <v>2543</v>
      </c>
      <c r="H46" s="17">
        <f t="shared" si="5"/>
        <v>3807</v>
      </c>
      <c r="I46" s="17">
        <f t="shared" ref="I46:N46" si="6">SUM(I34:I45)</f>
        <v>2335</v>
      </c>
      <c r="J46" s="17">
        <f t="shared" si="6"/>
        <v>2543</v>
      </c>
      <c r="K46" s="17">
        <f t="shared" si="6"/>
        <v>4353</v>
      </c>
      <c r="L46" s="17">
        <f t="shared" si="6"/>
        <v>1789</v>
      </c>
      <c r="M46" s="17">
        <f t="shared" si="6"/>
        <v>5109</v>
      </c>
      <c r="N46" s="17">
        <f t="shared" si="6"/>
        <v>34735</v>
      </c>
    </row>
    <row r="47" spans="1:14" ht="16.5" x14ac:dyDescent="0.3">
      <c r="A47" s="10" t="s">
        <v>42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>
        <f t="shared" si="4"/>
        <v>0</v>
      </c>
    </row>
    <row r="48" spans="1:14" ht="16.5" x14ac:dyDescent="0.3">
      <c r="A48" s="11" t="s">
        <v>43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>
        <f t="shared" si="4"/>
        <v>0</v>
      </c>
    </row>
    <row r="49" spans="1:14" ht="16.5" x14ac:dyDescent="0.3">
      <c r="A49" s="7" t="s">
        <v>12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>
        <f t="shared" si="4"/>
        <v>0</v>
      </c>
    </row>
    <row r="50" spans="1:14" ht="32.25" x14ac:dyDescent="0.3">
      <c r="A50" s="8" t="s">
        <v>37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>
        <f t="shared" si="4"/>
        <v>0</v>
      </c>
    </row>
    <row r="51" spans="1:14" ht="15.75" x14ac:dyDescent="0.25">
      <c r="A51" s="31" t="s">
        <v>6</v>
      </c>
      <c r="B51" s="30">
        <f>SUM(B46:B50)</f>
        <v>1788</v>
      </c>
      <c r="C51" s="30">
        <f t="shared" ref="C51:I51" si="7">SUM(C46:C50)</f>
        <v>1789</v>
      </c>
      <c r="D51" s="30">
        <f t="shared" si="7"/>
        <v>4557</v>
      </c>
      <c r="E51" s="30">
        <f t="shared" si="7"/>
        <v>2334</v>
      </c>
      <c r="F51" s="30">
        <f t="shared" si="7"/>
        <v>1788</v>
      </c>
      <c r="G51" s="30">
        <f t="shared" si="7"/>
        <v>2543</v>
      </c>
      <c r="H51" s="30">
        <f t="shared" si="7"/>
        <v>3807</v>
      </c>
      <c r="I51" s="30">
        <f t="shared" si="7"/>
        <v>2335</v>
      </c>
      <c r="J51" s="30">
        <f>SUM(J46:J50)</f>
        <v>2543</v>
      </c>
      <c r="K51" s="30">
        <f>SUM(K46:K50)</f>
        <v>4353</v>
      </c>
      <c r="L51" s="30">
        <f>SUM(L46:L50)</f>
        <v>1789</v>
      </c>
      <c r="M51" s="30">
        <f>SUM(M46:M50)</f>
        <v>5109</v>
      </c>
      <c r="N51" s="30">
        <f>SUM(N46:N50)</f>
        <v>34735</v>
      </c>
    </row>
    <row r="52" spans="1:14" ht="16.5" x14ac:dyDescent="0.3">
      <c r="A52" s="9" t="s">
        <v>123</v>
      </c>
      <c r="B52" s="30"/>
      <c r="C52" s="30"/>
      <c r="D52" s="17"/>
      <c r="E52" s="17">
        <v>118673</v>
      </c>
      <c r="F52" s="17"/>
      <c r="G52" s="17"/>
      <c r="H52" s="17">
        <v>118673</v>
      </c>
      <c r="I52" s="17"/>
      <c r="J52" s="17">
        <v>118672</v>
      </c>
      <c r="K52" s="30"/>
      <c r="L52" s="30"/>
      <c r="M52" s="17">
        <f>118672-2180</f>
        <v>116492</v>
      </c>
      <c r="N52" s="17">
        <f t="shared" si="4"/>
        <v>472510</v>
      </c>
    </row>
    <row r="53" spans="1:14" ht="32.25" x14ac:dyDescent="0.3">
      <c r="A53" s="8" t="s">
        <v>130</v>
      </c>
      <c r="B53" s="17">
        <v>9253</v>
      </c>
      <c r="C53" s="17">
        <v>9248</v>
      </c>
      <c r="D53" s="17">
        <v>9248</v>
      </c>
      <c r="E53" s="17">
        <v>9248</v>
      </c>
      <c r="F53" s="17">
        <v>9248</v>
      </c>
      <c r="G53" s="17">
        <v>9248</v>
      </c>
      <c r="H53" s="17">
        <v>9248</v>
      </c>
      <c r="I53" s="17">
        <v>9248</v>
      </c>
      <c r="J53" s="17">
        <v>9248</v>
      </c>
      <c r="K53" s="17">
        <v>9248</v>
      </c>
      <c r="L53" s="17">
        <v>9248</v>
      </c>
      <c r="M53" s="17">
        <v>9248</v>
      </c>
      <c r="N53" s="17">
        <f t="shared" si="4"/>
        <v>110981</v>
      </c>
    </row>
    <row r="54" spans="1:14" ht="16.5" x14ac:dyDescent="0.3">
      <c r="A54" s="8" t="s">
        <v>15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>
        <f t="shared" si="4"/>
        <v>0</v>
      </c>
    </row>
    <row r="55" spans="1:14" ht="16.5" x14ac:dyDescent="0.3">
      <c r="A55" s="8" t="s">
        <v>94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>
        <f t="shared" si="4"/>
        <v>0</v>
      </c>
    </row>
    <row r="56" spans="1:14" ht="48" x14ac:dyDescent="0.3">
      <c r="A56" s="8" t="s">
        <v>3</v>
      </c>
      <c r="B56" s="17"/>
      <c r="C56" s="17"/>
      <c r="D56" s="17"/>
      <c r="E56" s="17"/>
      <c r="F56" s="17">
        <v>408928</v>
      </c>
      <c r="G56" s="17"/>
      <c r="H56" s="17"/>
      <c r="I56" s="17"/>
      <c r="J56" s="17">
        <v>406224</v>
      </c>
      <c r="K56" s="17"/>
      <c r="L56" s="17"/>
      <c r="M56" s="17">
        <v>812449</v>
      </c>
      <c r="N56" s="17">
        <f>SUM(B56:M56)</f>
        <v>1627601</v>
      </c>
    </row>
    <row r="57" spans="1:14" ht="32.25" x14ac:dyDescent="0.3">
      <c r="A57" s="8" t="s">
        <v>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>
        <f t="shared" si="4"/>
        <v>0</v>
      </c>
    </row>
    <row r="58" spans="1:14" ht="16.5" x14ac:dyDescent="0.3">
      <c r="A58" s="8" t="s">
        <v>1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>
        <f t="shared" si="4"/>
        <v>0</v>
      </c>
    </row>
    <row r="59" spans="1:14" ht="16.5" x14ac:dyDescent="0.3">
      <c r="A59" s="9" t="s">
        <v>5</v>
      </c>
      <c r="B59" s="17"/>
      <c r="C59" s="17"/>
      <c r="D59" s="17">
        <v>500</v>
      </c>
      <c r="E59" s="17"/>
      <c r="F59" s="17"/>
      <c r="G59" s="17">
        <v>500</v>
      </c>
      <c r="H59" s="17"/>
      <c r="I59" s="17"/>
      <c r="J59" s="17">
        <v>500</v>
      </c>
      <c r="K59" s="17"/>
      <c r="L59" s="17"/>
      <c r="M59" s="17">
        <v>500</v>
      </c>
      <c r="N59" s="17">
        <f t="shared" si="4"/>
        <v>2000</v>
      </c>
    </row>
    <row r="60" spans="1:14" ht="32.25" x14ac:dyDescent="0.3">
      <c r="A60" s="4" t="s">
        <v>38</v>
      </c>
      <c r="B60" s="17">
        <f t="shared" ref="B60:N60" si="8">SUM(B52:B59)</f>
        <v>9253</v>
      </c>
      <c r="C60" s="17">
        <f t="shared" si="8"/>
        <v>9248</v>
      </c>
      <c r="D60" s="17">
        <f t="shared" si="8"/>
        <v>9748</v>
      </c>
      <c r="E60" s="17">
        <f t="shared" si="8"/>
        <v>127921</v>
      </c>
      <c r="F60" s="17">
        <f t="shared" si="8"/>
        <v>418176</v>
      </c>
      <c r="G60" s="17">
        <f t="shared" si="8"/>
        <v>9748</v>
      </c>
      <c r="H60" s="17">
        <f t="shared" si="8"/>
        <v>127921</v>
      </c>
      <c r="I60" s="17">
        <f t="shared" si="8"/>
        <v>9248</v>
      </c>
      <c r="J60" s="17">
        <f t="shared" si="8"/>
        <v>534644</v>
      </c>
      <c r="K60" s="17">
        <f t="shared" si="8"/>
        <v>9248</v>
      </c>
      <c r="L60" s="17">
        <f t="shared" si="8"/>
        <v>9248</v>
      </c>
      <c r="M60" s="17">
        <f t="shared" si="8"/>
        <v>938689</v>
      </c>
      <c r="N60" s="17">
        <f t="shared" si="8"/>
        <v>2213092</v>
      </c>
    </row>
    <row r="61" spans="1:14" ht="16.5" x14ac:dyDescent="0.3">
      <c r="A61" s="10" t="s">
        <v>44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>
        <f t="shared" si="4"/>
        <v>0</v>
      </c>
    </row>
    <row r="62" spans="1:14" ht="16.5" x14ac:dyDescent="0.3">
      <c r="A62" s="11" t="s">
        <v>45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>
        <f t="shared" si="4"/>
        <v>0</v>
      </c>
    </row>
    <row r="63" spans="1:14" ht="16.5" x14ac:dyDescent="0.3">
      <c r="A63" s="7" t="s">
        <v>13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>
        <f t="shared" si="4"/>
        <v>0</v>
      </c>
    </row>
    <row r="64" spans="1:14" ht="32.25" x14ac:dyDescent="0.3">
      <c r="A64" s="8" t="s">
        <v>41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>
        <f t="shared" si="4"/>
        <v>0</v>
      </c>
    </row>
    <row r="65" spans="1:14" ht="16.5" x14ac:dyDescent="0.3">
      <c r="A65" s="12" t="s">
        <v>14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>
        <f t="shared" si="4"/>
        <v>0</v>
      </c>
    </row>
    <row r="66" spans="1:14" ht="32.25" x14ac:dyDescent="0.3">
      <c r="A66" s="12" t="s">
        <v>40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>
        <f t="shared" si="4"/>
        <v>0</v>
      </c>
    </row>
    <row r="67" spans="1:14" ht="15.75" x14ac:dyDescent="0.25">
      <c r="A67" s="31" t="s">
        <v>7</v>
      </c>
      <c r="B67" s="30">
        <f>SUM(B52:B59,B64:B66)</f>
        <v>9253</v>
      </c>
      <c r="C67" s="30">
        <f t="shared" ref="C67:M67" si="9">SUM(C52:C59,C64:C66)</f>
        <v>9248</v>
      </c>
      <c r="D67" s="30">
        <f t="shared" si="9"/>
        <v>9748</v>
      </c>
      <c r="E67" s="30">
        <f t="shared" si="9"/>
        <v>127921</v>
      </c>
      <c r="F67" s="30">
        <f t="shared" si="9"/>
        <v>418176</v>
      </c>
      <c r="G67" s="30">
        <f t="shared" si="9"/>
        <v>9748</v>
      </c>
      <c r="H67" s="30">
        <f t="shared" si="9"/>
        <v>127921</v>
      </c>
      <c r="I67" s="30">
        <f t="shared" si="9"/>
        <v>9248</v>
      </c>
      <c r="J67" s="30">
        <f t="shared" si="9"/>
        <v>534644</v>
      </c>
      <c r="K67" s="30">
        <f t="shared" si="9"/>
        <v>9248</v>
      </c>
      <c r="L67" s="30">
        <f t="shared" si="9"/>
        <v>9248</v>
      </c>
      <c r="M67" s="30">
        <f t="shared" si="9"/>
        <v>938689</v>
      </c>
      <c r="N67" s="37">
        <f>SUM(B67:M67)</f>
        <v>2213092</v>
      </c>
    </row>
    <row r="68" spans="1:14" ht="18" x14ac:dyDescent="0.25">
      <c r="A68" s="14" t="s">
        <v>46</v>
      </c>
      <c r="B68" s="13">
        <f>SUM(B51,B67)</f>
        <v>11041</v>
      </c>
      <c r="C68" s="13">
        <f t="shared" ref="C68:N68" si="10">SUM(C51,C67)</f>
        <v>11037</v>
      </c>
      <c r="D68" s="13">
        <f t="shared" si="10"/>
        <v>14305</v>
      </c>
      <c r="E68" s="13">
        <f t="shared" si="10"/>
        <v>130255</v>
      </c>
      <c r="F68" s="13">
        <f t="shared" si="10"/>
        <v>419964</v>
      </c>
      <c r="G68" s="13">
        <f t="shared" si="10"/>
        <v>12291</v>
      </c>
      <c r="H68" s="13">
        <f t="shared" si="10"/>
        <v>131728</v>
      </c>
      <c r="I68" s="13">
        <f t="shared" si="10"/>
        <v>11583</v>
      </c>
      <c r="J68" s="13">
        <f t="shared" si="10"/>
        <v>537187</v>
      </c>
      <c r="K68" s="13">
        <f t="shared" si="10"/>
        <v>13601</v>
      </c>
      <c r="L68" s="13">
        <f t="shared" si="10"/>
        <v>11037</v>
      </c>
      <c r="M68" s="13">
        <f t="shared" si="10"/>
        <v>943798</v>
      </c>
      <c r="N68" s="38">
        <f t="shared" si="10"/>
        <v>2247827</v>
      </c>
    </row>
    <row r="69" spans="1:14" ht="15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4" ht="15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4" ht="15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4" ht="15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4" ht="15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4" ht="15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4" ht="15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4" ht="1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4" ht="1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4" ht="1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4" ht="1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4" ht="1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5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5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5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5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5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5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5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5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5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5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5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5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5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5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</sheetData>
  <mergeCells count="2">
    <mergeCell ref="A1:N1"/>
    <mergeCell ref="A2:N2"/>
  </mergeCells>
  <phoneticPr fontId="9" type="noConversion"/>
  <pageMargins left="0.75" right="0.75" top="1" bottom="1" header="0.5" footer="0.5"/>
  <pageSetup paperSize="9" scale="37" orientation="portrait" r:id="rId1"/>
  <headerFooter alignWithMargins="0">
    <oddHeader>&amp;R&amp;"Bookman Old Style,Normál"11. MELLÉKLET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  <pageSetUpPr fitToPage="1"/>
  </sheetPr>
  <dimension ref="B4:H140"/>
  <sheetViews>
    <sheetView topLeftCell="A79" workbookViewId="0">
      <selection activeCell="K133" sqref="K133"/>
    </sheetView>
  </sheetViews>
  <sheetFormatPr defaultColWidth="8" defaultRowHeight="12.75" x14ac:dyDescent="0.2"/>
  <cols>
    <col min="1" max="1" width="4" style="77" customWidth="1"/>
    <col min="2" max="2" width="6.140625" style="143" customWidth="1"/>
    <col min="3" max="3" width="9.140625" style="77" customWidth="1"/>
    <col min="4" max="4" width="41.85546875" style="77" customWidth="1"/>
    <col min="5" max="5" width="23.42578125" style="77" customWidth="1"/>
    <col min="6" max="6" width="17.42578125" style="77" customWidth="1"/>
    <col min="7" max="7" width="16.140625" style="77" customWidth="1"/>
    <col min="8" max="16384" width="8" style="77"/>
  </cols>
  <sheetData>
    <row r="4" spans="2:7" ht="17.25" customHeight="1" x14ac:dyDescent="0.25">
      <c r="B4" s="1093" t="s">
        <v>222</v>
      </c>
      <c r="C4" s="1093"/>
      <c r="D4" s="1093"/>
      <c r="E4" s="1093"/>
      <c r="F4" s="1093"/>
      <c r="G4" s="1093"/>
    </row>
    <row r="5" spans="2:7" ht="17.25" customHeight="1" x14ac:dyDescent="0.2">
      <c r="B5" s="78"/>
      <c r="C5" s="78"/>
      <c r="D5" s="78"/>
      <c r="E5" s="78"/>
    </row>
    <row r="6" spans="2:7" x14ac:dyDescent="0.2">
      <c r="B6" s="1100" t="s">
        <v>224</v>
      </c>
      <c r="C6" s="1100"/>
      <c r="D6" s="1100"/>
      <c r="E6" s="1100"/>
      <c r="F6" s="1011"/>
      <c r="G6" s="1011"/>
    </row>
    <row r="7" spans="2:7" ht="13.5" thickBot="1" x14ac:dyDescent="0.25">
      <c r="B7" s="80"/>
      <c r="C7" s="80"/>
      <c r="D7" s="80"/>
      <c r="E7" s="80"/>
      <c r="F7" s="81"/>
      <c r="G7" s="81" t="s">
        <v>225</v>
      </c>
    </row>
    <row r="8" spans="2:7" ht="20.25" customHeight="1" x14ac:dyDescent="0.2">
      <c r="B8" s="82"/>
      <c r="C8" s="1094" t="s">
        <v>140</v>
      </c>
      <c r="D8" s="1095"/>
      <c r="E8" s="83"/>
      <c r="F8" s="192" t="s">
        <v>796</v>
      </c>
      <c r="G8" s="192" t="s">
        <v>885</v>
      </c>
    </row>
    <row r="9" spans="2:7" ht="16.5" customHeight="1" x14ac:dyDescent="0.2">
      <c r="B9" s="85"/>
      <c r="C9" s="86"/>
      <c r="D9" s="79"/>
      <c r="E9" s="87"/>
      <c r="F9" s="361" t="s">
        <v>226</v>
      </c>
      <c r="G9" s="361" t="s">
        <v>226</v>
      </c>
    </row>
    <row r="10" spans="2:7" ht="16.5" customHeight="1" thickBot="1" x14ac:dyDescent="0.25">
      <c r="B10" s="89"/>
      <c r="C10" s="90"/>
      <c r="D10" s="80"/>
      <c r="E10" s="91"/>
      <c r="F10" s="193">
        <v>45291</v>
      </c>
      <c r="G10" s="193">
        <v>45657</v>
      </c>
    </row>
    <row r="11" spans="2:7" ht="16.5" customHeight="1" x14ac:dyDescent="0.2">
      <c r="B11" s="93"/>
      <c r="C11" s="86"/>
      <c r="D11" s="79"/>
      <c r="E11" s="94"/>
      <c r="F11" s="194"/>
      <c r="G11" s="194"/>
    </row>
    <row r="12" spans="2:7" ht="14.25" customHeight="1" x14ac:dyDescent="0.2">
      <c r="B12" s="95"/>
      <c r="C12" s="96" t="s">
        <v>227</v>
      </c>
      <c r="E12" s="96" t="s">
        <v>228</v>
      </c>
      <c r="F12" s="195"/>
      <c r="G12" s="195"/>
    </row>
    <row r="13" spans="2:7" x14ac:dyDescent="0.2">
      <c r="B13" s="95"/>
      <c r="C13" s="96"/>
      <c r="E13" s="96" t="s">
        <v>229</v>
      </c>
      <c r="F13" s="196"/>
      <c r="G13" s="196"/>
    </row>
    <row r="14" spans="2:7" ht="15.6" customHeight="1" x14ac:dyDescent="0.2">
      <c r="B14" s="98" t="s">
        <v>230</v>
      </c>
      <c r="C14" s="99" t="s">
        <v>227</v>
      </c>
      <c r="D14" s="100"/>
      <c r="E14" s="99" t="s">
        <v>231</v>
      </c>
      <c r="F14" s="101">
        <f>SUM(F12:F13)</f>
        <v>0</v>
      </c>
      <c r="G14" s="101">
        <f>SUM(G12:G13)</f>
        <v>0</v>
      </c>
    </row>
    <row r="15" spans="2:7" ht="15.6" customHeight="1" x14ac:dyDescent="0.2">
      <c r="B15" s="102"/>
      <c r="C15" s="94"/>
      <c r="D15" s="103"/>
      <c r="E15" s="94"/>
      <c r="F15" s="197"/>
      <c r="G15" s="197"/>
    </row>
    <row r="16" spans="2:7" ht="15" customHeight="1" x14ac:dyDescent="0.2">
      <c r="B16" s="95"/>
      <c r="C16" s="96" t="s">
        <v>232</v>
      </c>
      <c r="E16" s="96" t="s">
        <v>228</v>
      </c>
      <c r="F16" s="195"/>
      <c r="G16" s="195"/>
    </row>
    <row r="17" spans="2:7" x14ac:dyDescent="0.2">
      <c r="B17" s="95"/>
      <c r="C17" s="96"/>
      <c r="E17" s="96" t="s">
        <v>229</v>
      </c>
      <c r="F17" s="196"/>
      <c r="G17" s="196"/>
    </row>
    <row r="18" spans="2:7" ht="15.6" customHeight="1" x14ac:dyDescent="0.2">
      <c r="B18" s="98" t="s">
        <v>233</v>
      </c>
      <c r="C18" s="99" t="s">
        <v>232</v>
      </c>
      <c r="D18" s="100"/>
      <c r="E18" s="99" t="s">
        <v>231</v>
      </c>
      <c r="F18" s="101">
        <f>SUM(F16:F17)</f>
        <v>0</v>
      </c>
      <c r="G18" s="101">
        <f>SUM(G16:G17)</f>
        <v>0</v>
      </c>
    </row>
    <row r="19" spans="2:7" ht="15.6" customHeight="1" x14ac:dyDescent="0.2">
      <c r="B19" s="102"/>
      <c r="C19" s="94"/>
      <c r="D19" s="103"/>
      <c r="E19" s="94"/>
      <c r="F19" s="197"/>
      <c r="G19" s="197"/>
    </row>
    <row r="20" spans="2:7" x14ac:dyDescent="0.2">
      <c r="B20" s="95"/>
      <c r="C20" s="105" t="s">
        <v>234</v>
      </c>
      <c r="E20" s="96" t="s">
        <v>228</v>
      </c>
      <c r="F20" s="195"/>
      <c r="G20" s="195"/>
    </row>
    <row r="21" spans="2:7" x14ac:dyDescent="0.2">
      <c r="B21" s="95"/>
      <c r="C21" s="96"/>
      <c r="E21" s="96" t="s">
        <v>229</v>
      </c>
      <c r="F21" s="196"/>
      <c r="G21" s="196"/>
    </row>
    <row r="22" spans="2:7" ht="15.6" customHeight="1" thickBot="1" x14ac:dyDescent="0.25">
      <c r="B22" s="106" t="s">
        <v>235</v>
      </c>
      <c r="C22" s="107" t="s">
        <v>236</v>
      </c>
      <c r="D22" s="108"/>
      <c r="E22" s="107" t="s">
        <v>231</v>
      </c>
      <c r="F22" s="109">
        <f>SUM(F20:F21)</f>
        <v>0</v>
      </c>
      <c r="G22" s="109">
        <f>SUM(G20:G21)</f>
        <v>0</v>
      </c>
    </row>
    <row r="23" spans="2:7" ht="15.6" customHeight="1" x14ac:dyDescent="0.2">
      <c r="B23" s="102"/>
      <c r="C23" s="94"/>
      <c r="D23" s="103"/>
      <c r="E23" s="94"/>
      <c r="F23" s="194"/>
      <c r="G23" s="194"/>
    </row>
    <row r="24" spans="2:7" ht="14.25" customHeight="1" x14ac:dyDescent="0.2">
      <c r="B24" s="95"/>
      <c r="C24" s="96" t="s">
        <v>237</v>
      </c>
      <c r="E24" s="96" t="s">
        <v>228</v>
      </c>
      <c r="F24" s="195"/>
      <c r="G24" s="195"/>
    </row>
    <row r="25" spans="2:7" x14ac:dyDescent="0.2">
      <c r="B25" s="95"/>
      <c r="C25" s="96"/>
      <c r="E25" s="96" t="s">
        <v>229</v>
      </c>
      <c r="F25" s="307">
        <v>2154917</v>
      </c>
      <c r="G25" s="307">
        <v>2104223</v>
      </c>
    </row>
    <row r="26" spans="2:7" ht="15.6" customHeight="1" x14ac:dyDescent="0.2">
      <c r="B26" s="98" t="s">
        <v>238</v>
      </c>
      <c r="C26" s="99" t="s">
        <v>239</v>
      </c>
      <c r="D26" s="100"/>
      <c r="E26" s="99" t="s">
        <v>231</v>
      </c>
      <c r="F26" s="101">
        <f>SUM(F24:F25)</f>
        <v>2154917</v>
      </c>
      <c r="G26" s="101">
        <f>SUM(G24:G25)</f>
        <v>2104223</v>
      </c>
    </row>
    <row r="27" spans="2:7" ht="15.6" customHeight="1" x14ac:dyDescent="0.2">
      <c r="B27" s="102"/>
      <c r="C27" s="94"/>
      <c r="D27" s="103"/>
      <c r="E27" s="94"/>
      <c r="F27" s="197"/>
      <c r="G27" s="197"/>
    </row>
    <row r="28" spans="2:7" ht="15" customHeight="1" x14ac:dyDescent="0.2">
      <c r="B28" s="95"/>
      <c r="C28" s="96" t="s">
        <v>240</v>
      </c>
      <c r="E28" s="96" t="s">
        <v>228</v>
      </c>
      <c r="F28" s="191"/>
      <c r="G28" s="191"/>
    </row>
    <row r="29" spans="2:7" x14ac:dyDescent="0.2">
      <c r="B29" s="95"/>
      <c r="C29" s="96"/>
      <c r="E29" s="96" t="s">
        <v>229</v>
      </c>
      <c r="F29" s="360">
        <v>5407</v>
      </c>
      <c r="G29" s="360">
        <v>329</v>
      </c>
    </row>
    <row r="30" spans="2:7" ht="13.5" customHeight="1" x14ac:dyDescent="0.2">
      <c r="B30" s="98" t="s">
        <v>241</v>
      </c>
      <c r="C30" s="99" t="s">
        <v>240</v>
      </c>
      <c r="D30" s="100"/>
      <c r="E30" s="99" t="s">
        <v>231</v>
      </c>
      <c r="F30" s="101">
        <f>SUM(F28:F29)</f>
        <v>5407</v>
      </c>
      <c r="G30" s="101">
        <f>SUM(G28:G29)</f>
        <v>329</v>
      </c>
    </row>
    <row r="31" spans="2:7" ht="15.6" customHeight="1" x14ac:dyDescent="0.2">
      <c r="B31" s="102"/>
      <c r="C31" s="94"/>
      <c r="D31" s="103"/>
      <c r="E31" s="94"/>
      <c r="F31" s="197"/>
      <c r="G31" s="197"/>
    </row>
    <row r="32" spans="2:7" x14ac:dyDescent="0.2">
      <c r="B32" s="95"/>
      <c r="C32" s="96" t="s">
        <v>242</v>
      </c>
      <c r="E32" s="96" t="s">
        <v>228</v>
      </c>
      <c r="F32" s="191"/>
      <c r="G32" s="191"/>
    </row>
    <row r="33" spans="2:8" x14ac:dyDescent="0.2">
      <c r="B33" s="95"/>
      <c r="C33" s="96"/>
      <c r="E33" s="96" t="s">
        <v>229</v>
      </c>
      <c r="F33" s="190"/>
      <c r="G33" s="190"/>
    </row>
    <row r="34" spans="2:8" ht="15.6" customHeight="1" x14ac:dyDescent="0.2">
      <c r="B34" s="98" t="s">
        <v>243</v>
      </c>
      <c r="C34" s="99" t="s">
        <v>242</v>
      </c>
      <c r="D34" s="100"/>
      <c r="E34" s="99" t="s">
        <v>231</v>
      </c>
      <c r="F34" s="101">
        <f>SUM(F32:F33)</f>
        <v>0</v>
      </c>
      <c r="G34" s="101">
        <f>SUM(G32:G33)</f>
        <v>0</v>
      </c>
    </row>
    <row r="35" spans="2:8" ht="15.6" customHeight="1" x14ac:dyDescent="0.2">
      <c r="B35" s="102"/>
      <c r="C35" s="94"/>
      <c r="D35" s="103"/>
      <c r="E35" s="94"/>
      <c r="F35" s="197"/>
      <c r="G35" s="197"/>
    </row>
    <row r="36" spans="2:8" x14ac:dyDescent="0.2">
      <c r="B36" s="95"/>
      <c r="C36" s="96" t="s">
        <v>244</v>
      </c>
      <c r="E36" s="96" t="s">
        <v>228</v>
      </c>
      <c r="F36" s="191"/>
      <c r="G36" s="191"/>
    </row>
    <row r="37" spans="2:8" x14ac:dyDescent="0.2">
      <c r="B37" s="95"/>
      <c r="C37" s="96"/>
      <c r="E37" s="96" t="s">
        <v>229</v>
      </c>
      <c r="F37" s="97"/>
      <c r="G37" s="97">
        <v>0</v>
      </c>
    </row>
    <row r="38" spans="2:8" ht="15.6" customHeight="1" x14ac:dyDescent="0.2">
      <c r="B38" s="98" t="s">
        <v>245</v>
      </c>
      <c r="C38" s="99" t="s">
        <v>204</v>
      </c>
      <c r="D38" s="100"/>
      <c r="E38" s="99" t="s">
        <v>231</v>
      </c>
      <c r="F38" s="101">
        <f>SUM(F36:F37)</f>
        <v>0</v>
      </c>
      <c r="G38" s="101">
        <f>SUM(G36:G37)</f>
        <v>0</v>
      </c>
    </row>
    <row r="39" spans="2:8" ht="15.6" customHeight="1" x14ac:dyDescent="0.2">
      <c r="B39" s="102"/>
      <c r="C39" s="94"/>
      <c r="D39" s="103"/>
      <c r="E39" s="94"/>
      <c r="F39" s="189"/>
      <c r="G39" s="189"/>
    </row>
    <row r="40" spans="2:8" ht="15" customHeight="1" x14ac:dyDescent="0.2">
      <c r="B40" s="95"/>
      <c r="C40" s="105" t="s">
        <v>246</v>
      </c>
      <c r="E40" s="96" t="s">
        <v>228</v>
      </c>
      <c r="F40" s="197"/>
      <c r="G40" s="197"/>
    </row>
    <row r="41" spans="2:8" x14ac:dyDescent="0.2">
      <c r="B41" s="95"/>
      <c r="C41" s="96"/>
      <c r="E41" s="96" t="s">
        <v>247</v>
      </c>
      <c r="F41" s="97">
        <f>F25+F29+F33+F37</f>
        <v>2160324</v>
      </c>
      <c r="G41" s="97">
        <f>G25+G29+G37+G33</f>
        <v>2104552</v>
      </c>
    </row>
    <row r="42" spans="2:8" ht="15.6" customHeight="1" thickBot="1" x14ac:dyDescent="0.25">
      <c r="B42" s="106" t="s">
        <v>248</v>
      </c>
      <c r="C42" s="107" t="s">
        <v>246</v>
      </c>
      <c r="D42" s="108"/>
      <c r="E42" s="107" t="s">
        <v>231</v>
      </c>
      <c r="F42" s="111">
        <f>SUM(F40:F41)</f>
        <v>2160324</v>
      </c>
      <c r="G42" s="111">
        <f>SUM(G40:G41)</f>
        <v>2104552</v>
      </c>
      <c r="H42" s="598"/>
    </row>
    <row r="43" spans="2:8" ht="15.6" customHeight="1" x14ac:dyDescent="0.2">
      <c r="B43" s="102"/>
      <c r="C43" s="94"/>
      <c r="D43" s="103"/>
      <c r="E43" s="94"/>
      <c r="F43" s="189"/>
      <c r="G43" s="189"/>
    </row>
    <row r="44" spans="2:8" ht="15" customHeight="1" x14ac:dyDescent="0.2">
      <c r="B44" s="95"/>
      <c r="C44" s="96" t="s">
        <v>249</v>
      </c>
      <c r="E44" s="96" t="s">
        <v>228</v>
      </c>
      <c r="F44" s="189"/>
      <c r="G44" s="189"/>
    </row>
    <row r="45" spans="2:8" x14ac:dyDescent="0.2">
      <c r="B45" s="95"/>
      <c r="C45" s="96"/>
      <c r="E45" s="96" t="s">
        <v>229</v>
      </c>
      <c r="F45" s="189">
        <v>115</v>
      </c>
      <c r="G45" s="189">
        <v>115</v>
      </c>
    </row>
    <row r="46" spans="2:8" ht="15.6" customHeight="1" x14ac:dyDescent="0.2">
      <c r="B46" s="98" t="s">
        <v>250</v>
      </c>
      <c r="C46" s="99" t="s">
        <v>251</v>
      </c>
      <c r="D46" s="100"/>
      <c r="E46" s="99" t="s">
        <v>231</v>
      </c>
      <c r="F46" s="101">
        <f>F44+F45</f>
        <v>115</v>
      </c>
      <c r="G46" s="101">
        <f>G44+G45</f>
        <v>115</v>
      </c>
      <c r="H46" s="189"/>
    </row>
    <row r="47" spans="2:8" ht="15.6" customHeight="1" x14ac:dyDescent="0.2">
      <c r="B47" s="102"/>
      <c r="C47" s="94"/>
      <c r="D47" s="103"/>
      <c r="E47" s="94"/>
      <c r="F47" s="189"/>
      <c r="G47" s="189"/>
    </row>
    <row r="48" spans="2:8" ht="15.75" customHeight="1" x14ac:dyDescent="0.2">
      <c r="B48" s="95"/>
      <c r="C48" s="96" t="s">
        <v>252</v>
      </c>
      <c r="E48" s="96" t="s">
        <v>228</v>
      </c>
      <c r="F48" s="97">
        <v>0</v>
      </c>
      <c r="G48" s="97">
        <v>0</v>
      </c>
    </row>
    <row r="49" spans="2:8" x14ac:dyDescent="0.2">
      <c r="B49" s="95"/>
      <c r="C49" s="96"/>
      <c r="E49" s="96" t="s">
        <v>229</v>
      </c>
      <c r="F49" s="97">
        <v>0</v>
      </c>
      <c r="G49" s="97">
        <v>0</v>
      </c>
    </row>
    <row r="50" spans="2:8" ht="15.6" customHeight="1" x14ac:dyDescent="0.2">
      <c r="B50" s="98" t="s">
        <v>253</v>
      </c>
      <c r="C50" s="99" t="s">
        <v>252</v>
      </c>
      <c r="D50" s="100"/>
      <c r="E50" s="99" t="s">
        <v>231</v>
      </c>
      <c r="F50" s="112">
        <f>SUM(F49:F49)</f>
        <v>0</v>
      </c>
      <c r="G50" s="112">
        <f>SUM(G49:G49)</f>
        <v>0</v>
      </c>
    </row>
    <row r="51" spans="2:8" ht="15.6" customHeight="1" x14ac:dyDescent="0.2">
      <c r="B51" s="102"/>
      <c r="C51" s="94"/>
      <c r="D51" s="103"/>
      <c r="E51" s="94"/>
      <c r="F51" s="189"/>
      <c r="G51" s="189"/>
    </row>
    <row r="52" spans="2:8" ht="15.75" customHeight="1" x14ac:dyDescent="0.2">
      <c r="B52" s="95"/>
      <c r="C52" s="105" t="s">
        <v>254</v>
      </c>
      <c r="E52" s="96" t="s">
        <v>228</v>
      </c>
      <c r="F52" s="113">
        <f>F44+F48</f>
        <v>0</v>
      </c>
      <c r="G52" s="113">
        <f>G44+G48</f>
        <v>0</v>
      </c>
    </row>
    <row r="53" spans="2:8" x14ac:dyDescent="0.2">
      <c r="B53" s="95"/>
      <c r="C53" s="94"/>
      <c r="E53" s="96" t="s">
        <v>229</v>
      </c>
      <c r="F53" s="113">
        <f>F45+F49</f>
        <v>115</v>
      </c>
      <c r="G53" s="113">
        <f>G45+G49</f>
        <v>115</v>
      </c>
    </row>
    <row r="54" spans="2:8" ht="15.6" customHeight="1" thickBot="1" x14ac:dyDescent="0.25">
      <c r="B54" s="106" t="s">
        <v>255</v>
      </c>
      <c r="C54" s="107" t="s">
        <v>254</v>
      </c>
      <c r="D54" s="108"/>
      <c r="E54" s="107" t="s">
        <v>231</v>
      </c>
      <c r="F54" s="114">
        <f>SUM(F52:F53)</f>
        <v>115</v>
      </c>
      <c r="G54" s="114">
        <f>SUM(G52:G53)</f>
        <v>115</v>
      </c>
      <c r="H54" s="598"/>
    </row>
    <row r="55" spans="2:8" ht="15.6" customHeight="1" x14ac:dyDescent="0.2">
      <c r="B55" s="102"/>
      <c r="C55" s="94"/>
      <c r="D55" s="103"/>
      <c r="E55" s="94"/>
      <c r="F55" s="189"/>
      <c r="G55" s="189"/>
    </row>
    <row r="56" spans="2:8" ht="16.5" customHeight="1" x14ac:dyDescent="0.2">
      <c r="B56" s="95"/>
      <c r="C56" s="96" t="s">
        <v>256</v>
      </c>
      <c r="E56" s="96" t="s">
        <v>228</v>
      </c>
      <c r="F56" s="97">
        <v>0</v>
      </c>
      <c r="G56" s="97">
        <v>0</v>
      </c>
    </row>
    <row r="57" spans="2:8" x14ac:dyDescent="0.2">
      <c r="B57" s="95"/>
      <c r="C57" s="96"/>
      <c r="E57" s="96" t="s">
        <v>229</v>
      </c>
      <c r="F57" s="97">
        <v>0</v>
      </c>
      <c r="G57" s="97">
        <v>0</v>
      </c>
    </row>
    <row r="58" spans="2:8" ht="27" customHeight="1" thickBot="1" x14ac:dyDescent="0.25">
      <c r="B58" s="115" t="s">
        <v>257</v>
      </c>
      <c r="C58" s="1096" t="s">
        <v>258</v>
      </c>
      <c r="D58" s="1097"/>
      <c r="E58" s="116" t="s">
        <v>231</v>
      </c>
      <c r="F58" s="110">
        <f>SUM(F56:F57)</f>
        <v>0</v>
      </c>
      <c r="G58" s="110">
        <f>SUM(G56:G57)</f>
        <v>0</v>
      </c>
    </row>
    <row r="59" spans="2:8" ht="15.6" customHeight="1" x14ac:dyDescent="0.2">
      <c r="B59" s="117"/>
      <c r="C59" s="83"/>
      <c r="D59" s="118"/>
      <c r="E59" s="83"/>
      <c r="F59" s="119">
        <f>SUM(F58:F58)</f>
        <v>0</v>
      </c>
      <c r="G59" s="119">
        <f>SUM(G58:G58)</f>
        <v>0</v>
      </c>
    </row>
    <row r="60" spans="2:8" ht="15" customHeight="1" x14ac:dyDescent="0.2">
      <c r="B60" s="120"/>
      <c r="C60" s="1098" t="s">
        <v>259</v>
      </c>
      <c r="D60" s="1099"/>
      <c r="E60" s="96" t="s">
        <v>228</v>
      </c>
      <c r="F60" s="113"/>
      <c r="G60" s="113">
        <f>+G20+G40+G52+H56</f>
        <v>0</v>
      </c>
    </row>
    <row r="61" spans="2:8" ht="13.5" thickBot="1" x14ac:dyDescent="0.25">
      <c r="B61" s="121"/>
      <c r="C61" s="122"/>
      <c r="D61" s="123"/>
      <c r="E61" s="122" t="s">
        <v>229</v>
      </c>
      <c r="F61" s="124">
        <f>+F21+F41+F53+F57</f>
        <v>2160439</v>
      </c>
      <c r="G61" s="124">
        <f>+G21+G41+G53+G57</f>
        <v>2104667</v>
      </c>
    </row>
    <row r="62" spans="2:8" s="125" customFormat="1" ht="39.75" customHeight="1" thickBot="1" x14ac:dyDescent="0.3">
      <c r="B62" s="127" t="s">
        <v>260</v>
      </c>
      <c r="C62" s="1091" t="s">
        <v>259</v>
      </c>
      <c r="D62" s="1092"/>
      <c r="E62" s="128" t="s">
        <v>231</v>
      </c>
      <c r="F62" s="129">
        <f>SUM(F60:F61)</f>
        <v>2160439</v>
      </c>
      <c r="G62" s="129">
        <f>SUM(G60:G61)</f>
        <v>2104667</v>
      </c>
    </row>
    <row r="63" spans="2:8" ht="16.5" customHeight="1" x14ac:dyDescent="0.2">
      <c r="B63" s="85"/>
      <c r="C63" s="86"/>
      <c r="D63" s="79"/>
      <c r="E63" s="94"/>
      <c r="F63" s="190"/>
      <c r="G63" s="190"/>
    </row>
    <row r="64" spans="2:8" ht="15" customHeight="1" x14ac:dyDescent="0.2">
      <c r="B64" s="120"/>
      <c r="C64" s="96" t="s">
        <v>261</v>
      </c>
      <c r="E64" s="96" t="s">
        <v>228</v>
      </c>
      <c r="F64" s="189"/>
      <c r="G64" s="189"/>
    </row>
    <row r="65" spans="2:7" x14ac:dyDescent="0.2">
      <c r="B65" s="120"/>
      <c r="C65" s="96"/>
      <c r="E65" s="96" t="s">
        <v>229</v>
      </c>
      <c r="F65" s="189"/>
      <c r="G65" s="189"/>
    </row>
    <row r="66" spans="2:7" ht="15.6" customHeight="1" thickBot="1" x14ac:dyDescent="0.25">
      <c r="B66" s="126" t="s">
        <v>262</v>
      </c>
      <c r="C66" s="107" t="s">
        <v>261</v>
      </c>
      <c r="D66" s="108"/>
      <c r="E66" s="107" t="s">
        <v>231</v>
      </c>
      <c r="F66" s="114">
        <f>SUM(F64:F65)</f>
        <v>0</v>
      </c>
      <c r="G66" s="114">
        <f>SUM(G64:G65)</f>
        <v>0</v>
      </c>
    </row>
    <row r="67" spans="2:7" ht="11.1" customHeight="1" x14ac:dyDescent="0.2">
      <c r="B67" s="95"/>
      <c r="C67" s="96"/>
      <c r="E67" s="96"/>
      <c r="F67" s="189"/>
      <c r="G67" s="189"/>
    </row>
    <row r="68" spans="2:7" x14ac:dyDescent="0.2">
      <c r="B68" s="95"/>
      <c r="C68" s="96" t="s">
        <v>263</v>
      </c>
      <c r="E68" s="96" t="s">
        <v>228</v>
      </c>
      <c r="F68" s="97">
        <v>0</v>
      </c>
      <c r="G68" s="97">
        <v>0</v>
      </c>
    </row>
    <row r="69" spans="2:7" x14ac:dyDescent="0.2">
      <c r="B69" s="95"/>
      <c r="C69" s="96"/>
      <c r="E69" s="96" t="s">
        <v>229</v>
      </c>
      <c r="F69" s="97"/>
      <c r="G69" s="97"/>
    </row>
    <row r="70" spans="2:7" ht="15.6" customHeight="1" thickBot="1" x14ac:dyDescent="0.25">
      <c r="B70" s="106" t="s">
        <v>264</v>
      </c>
      <c r="C70" s="107" t="s">
        <v>265</v>
      </c>
      <c r="D70" s="108"/>
      <c r="E70" s="107" t="s">
        <v>231</v>
      </c>
      <c r="F70" s="109">
        <f>SUM(F68:F69)</f>
        <v>0</v>
      </c>
      <c r="G70" s="109">
        <f>SUM(G68:G69)</f>
        <v>0</v>
      </c>
    </row>
    <row r="71" spans="2:7" ht="15.6" customHeight="1" x14ac:dyDescent="0.2">
      <c r="B71" s="715"/>
      <c r="C71" s="83"/>
      <c r="D71" s="118"/>
      <c r="E71" s="83"/>
      <c r="F71" s="716"/>
      <c r="G71" s="716"/>
    </row>
    <row r="72" spans="2:7" x14ac:dyDescent="0.2">
      <c r="B72" s="95"/>
      <c r="C72" s="96" t="s">
        <v>266</v>
      </c>
      <c r="E72" s="96" t="s">
        <v>228</v>
      </c>
      <c r="F72" s="97">
        <f>+F64+F68</f>
        <v>0</v>
      </c>
      <c r="G72" s="97">
        <f>+G64+G68</f>
        <v>0</v>
      </c>
    </row>
    <row r="73" spans="2:7" ht="13.5" thickBot="1" x14ac:dyDescent="0.25">
      <c r="B73" s="717"/>
      <c r="C73" s="122"/>
      <c r="D73" s="123"/>
      <c r="E73" s="122" t="s">
        <v>229</v>
      </c>
      <c r="F73" s="718">
        <f>+F65+F69</f>
        <v>0</v>
      </c>
      <c r="G73" s="718">
        <f>+G65+G69</f>
        <v>0</v>
      </c>
    </row>
    <row r="74" spans="2:7" s="125" customFormat="1" ht="30" customHeight="1" thickBot="1" x14ac:dyDescent="0.3">
      <c r="B74" s="127" t="s">
        <v>267</v>
      </c>
      <c r="C74" s="1091" t="s">
        <v>268</v>
      </c>
      <c r="D74" s="1092"/>
      <c r="E74" s="128" t="s">
        <v>231</v>
      </c>
      <c r="F74" s="129">
        <f>SUM(F72:F73)</f>
        <v>0</v>
      </c>
      <c r="G74" s="129">
        <f>SUM(G72:G73)</f>
        <v>0</v>
      </c>
    </row>
    <row r="75" spans="2:7" s="125" customFormat="1" ht="30" customHeight="1" x14ac:dyDescent="0.25">
      <c r="B75" s="130"/>
      <c r="C75" s="131"/>
      <c r="D75" s="132"/>
      <c r="E75" s="133"/>
      <c r="F75" s="134"/>
      <c r="G75" s="134"/>
    </row>
    <row r="76" spans="2:7" s="125" customFormat="1" ht="30" customHeight="1" thickBot="1" x14ac:dyDescent="0.3">
      <c r="B76" s="130"/>
      <c r="C76" s="131"/>
      <c r="D76" s="132"/>
      <c r="E76" s="133"/>
      <c r="F76" s="134"/>
      <c r="G76" s="134"/>
    </row>
    <row r="77" spans="2:7" ht="20.25" customHeight="1" x14ac:dyDescent="0.2">
      <c r="B77" s="82"/>
      <c r="C77" s="1094" t="s">
        <v>140</v>
      </c>
      <c r="D77" s="1095"/>
      <c r="E77" s="83"/>
      <c r="F77" s="84" t="s">
        <v>795</v>
      </c>
      <c r="G77" s="84" t="s">
        <v>886</v>
      </c>
    </row>
    <row r="78" spans="2:7" ht="16.5" customHeight="1" x14ac:dyDescent="0.2">
      <c r="B78" s="85"/>
      <c r="C78" s="86"/>
      <c r="D78" s="79"/>
      <c r="E78" s="87"/>
      <c r="F78" s="88" t="s">
        <v>226</v>
      </c>
      <c r="G78" s="88" t="s">
        <v>226</v>
      </c>
    </row>
    <row r="79" spans="2:7" ht="16.5" customHeight="1" thickBot="1" x14ac:dyDescent="0.25">
      <c r="B79" s="89"/>
      <c r="C79" s="90"/>
      <c r="D79" s="80"/>
      <c r="E79" s="91"/>
      <c r="F79" s="92" t="s">
        <v>887</v>
      </c>
      <c r="G79" s="92" t="s">
        <v>888</v>
      </c>
    </row>
    <row r="80" spans="2:7" ht="15.6" customHeight="1" x14ac:dyDescent="0.2">
      <c r="B80" s="102"/>
      <c r="C80" s="94"/>
      <c r="D80" s="103"/>
      <c r="E80" s="94"/>
      <c r="F80" s="104"/>
      <c r="G80" s="104"/>
    </row>
    <row r="81" spans="2:7" x14ac:dyDescent="0.2">
      <c r="B81" s="95"/>
      <c r="C81" s="96" t="s">
        <v>269</v>
      </c>
      <c r="E81" s="96" t="s">
        <v>228</v>
      </c>
      <c r="F81" s="97">
        <v>0</v>
      </c>
      <c r="G81" s="97">
        <v>0</v>
      </c>
    </row>
    <row r="82" spans="2:7" x14ac:dyDescent="0.2">
      <c r="B82" s="95"/>
      <c r="C82" s="96"/>
      <c r="E82" s="96" t="s">
        <v>229</v>
      </c>
      <c r="F82" s="97">
        <v>1000000</v>
      </c>
      <c r="G82" s="97">
        <v>0</v>
      </c>
    </row>
    <row r="83" spans="2:7" ht="15.6" customHeight="1" x14ac:dyDescent="0.2">
      <c r="B83" s="98" t="s">
        <v>270</v>
      </c>
      <c r="C83" s="99" t="s">
        <v>269</v>
      </c>
      <c r="D83" s="100"/>
      <c r="E83" s="99" t="s">
        <v>231</v>
      </c>
      <c r="F83" s="101">
        <f>F81+F82</f>
        <v>1000000</v>
      </c>
      <c r="G83" s="101">
        <f>SUM(G81:G82)</f>
        <v>0</v>
      </c>
    </row>
    <row r="84" spans="2:7" ht="11.1" customHeight="1" x14ac:dyDescent="0.2">
      <c r="B84" s="95"/>
      <c r="C84" s="96"/>
      <c r="E84" s="96"/>
      <c r="F84" s="97"/>
      <c r="G84" s="97"/>
    </row>
    <row r="85" spans="2:7" x14ac:dyDescent="0.2">
      <c r="B85" s="95"/>
      <c r="C85" s="96" t="s">
        <v>271</v>
      </c>
      <c r="E85" s="96" t="s">
        <v>228</v>
      </c>
      <c r="F85" s="97"/>
      <c r="G85" s="97"/>
    </row>
    <row r="86" spans="2:7" x14ac:dyDescent="0.2">
      <c r="B86" s="95"/>
      <c r="C86" s="135"/>
      <c r="E86" s="96" t="s">
        <v>229</v>
      </c>
      <c r="F86" s="97">
        <v>71</v>
      </c>
      <c r="G86" s="97">
        <v>44</v>
      </c>
    </row>
    <row r="87" spans="2:7" ht="15.6" customHeight="1" x14ac:dyDescent="0.2">
      <c r="B87" s="98" t="s">
        <v>272</v>
      </c>
      <c r="C87" s="136" t="s">
        <v>271</v>
      </c>
      <c r="D87" s="100"/>
      <c r="E87" s="99" t="s">
        <v>231</v>
      </c>
      <c r="F87" s="101">
        <f>SUM(F85:F86)</f>
        <v>71</v>
      </c>
      <c r="G87" s="101">
        <f>SUM(G85:G86)</f>
        <v>44</v>
      </c>
    </row>
    <row r="88" spans="2:7" ht="11.1" customHeight="1" x14ac:dyDescent="0.2">
      <c r="B88" s="95"/>
      <c r="C88" s="96"/>
      <c r="E88" s="96"/>
      <c r="F88" s="97"/>
      <c r="G88" s="97"/>
    </row>
    <row r="89" spans="2:7" x14ac:dyDescent="0.2">
      <c r="B89" s="95"/>
      <c r="C89" s="96" t="s">
        <v>273</v>
      </c>
      <c r="E89" s="96" t="s">
        <v>228</v>
      </c>
      <c r="F89" s="97"/>
      <c r="G89" s="97"/>
    </row>
    <row r="90" spans="2:7" x14ac:dyDescent="0.2">
      <c r="B90" s="95"/>
      <c r="C90" s="96"/>
      <c r="E90" s="96" t="s">
        <v>229</v>
      </c>
      <c r="F90" s="97">
        <v>403913</v>
      </c>
      <c r="G90" s="97">
        <v>1622737</v>
      </c>
    </row>
    <row r="91" spans="2:7" ht="15.6" customHeight="1" x14ac:dyDescent="0.2">
      <c r="B91" s="98" t="s">
        <v>274</v>
      </c>
      <c r="C91" s="136" t="s">
        <v>273</v>
      </c>
      <c r="D91" s="100"/>
      <c r="E91" s="99" t="s">
        <v>231</v>
      </c>
      <c r="F91" s="101">
        <f>SUM(F89:F90)</f>
        <v>403913</v>
      </c>
      <c r="G91" s="101">
        <f>SUM(G89:G90)</f>
        <v>1622737</v>
      </c>
    </row>
    <row r="92" spans="2:7" ht="11.1" customHeight="1" x14ac:dyDescent="0.2">
      <c r="B92" s="95"/>
      <c r="C92" s="96"/>
      <c r="E92" s="96"/>
      <c r="F92" s="97"/>
      <c r="G92" s="97"/>
    </row>
    <row r="93" spans="2:7" x14ac:dyDescent="0.2">
      <c r="B93" s="95"/>
      <c r="C93" s="96" t="s">
        <v>275</v>
      </c>
      <c r="E93" s="96" t="s">
        <v>228</v>
      </c>
      <c r="F93" s="97"/>
      <c r="G93" s="97"/>
    </row>
    <row r="94" spans="2:7" x14ac:dyDescent="0.2">
      <c r="B94" s="95"/>
      <c r="C94" s="96"/>
      <c r="E94" s="96" t="s">
        <v>229</v>
      </c>
      <c r="F94" s="97"/>
      <c r="G94" s="97"/>
    </row>
    <row r="95" spans="2:7" ht="15.6" customHeight="1" x14ac:dyDescent="0.2">
      <c r="B95" s="98" t="s">
        <v>276</v>
      </c>
      <c r="C95" s="136" t="s">
        <v>275</v>
      </c>
      <c r="D95" s="100"/>
      <c r="E95" s="99" t="s">
        <v>231</v>
      </c>
      <c r="F95" s="101">
        <f>SUM(F93:F94)</f>
        <v>0</v>
      </c>
      <c r="G95" s="101">
        <f>SUM(G93:G94)</f>
        <v>0</v>
      </c>
    </row>
    <row r="96" spans="2:7" ht="11.1" customHeight="1" x14ac:dyDescent="0.2">
      <c r="B96" s="95"/>
      <c r="C96" s="96"/>
      <c r="E96" s="96"/>
      <c r="F96" s="97"/>
      <c r="G96" s="97"/>
    </row>
    <row r="97" spans="2:7" x14ac:dyDescent="0.2">
      <c r="B97" s="95"/>
      <c r="C97" s="96" t="s">
        <v>277</v>
      </c>
      <c r="E97" s="96" t="s">
        <v>228</v>
      </c>
      <c r="F97" s="97"/>
      <c r="G97" s="97"/>
    </row>
    <row r="98" spans="2:7" x14ac:dyDescent="0.2">
      <c r="B98" s="95"/>
      <c r="C98" s="96"/>
      <c r="E98" s="96" t="s">
        <v>229</v>
      </c>
      <c r="F98" s="97"/>
      <c r="G98" s="97"/>
    </row>
    <row r="99" spans="2:7" ht="15.6" customHeight="1" x14ac:dyDescent="0.2">
      <c r="B99" s="98" t="s">
        <v>278</v>
      </c>
      <c r="C99" s="99" t="s">
        <v>277</v>
      </c>
      <c r="D99" s="100"/>
      <c r="E99" s="99" t="s">
        <v>231</v>
      </c>
      <c r="F99" s="101">
        <f>SUM(F97:F98)</f>
        <v>0</v>
      </c>
      <c r="G99" s="101">
        <f>SUM(G97:G98)</f>
        <v>0</v>
      </c>
    </row>
    <row r="100" spans="2:7" ht="11.1" customHeight="1" x14ac:dyDescent="0.2">
      <c r="B100" s="95"/>
      <c r="C100" s="96"/>
      <c r="E100" s="96"/>
      <c r="F100" s="97"/>
      <c r="G100" s="97"/>
    </row>
    <row r="101" spans="2:7" x14ac:dyDescent="0.2">
      <c r="B101" s="95"/>
      <c r="C101" s="96" t="s">
        <v>279</v>
      </c>
      <c r="E101" s="96" t="s">
        <v>228</v>
      </c>
      <c r="F101" s="97">
        <f>+F81+F85+F89+F93+F97</f>
        <v>0</v>
      </c>
      <c r="G101" s="97">
        <f>+G81+G85+G89+G93+G97</f>
        <v>0</v>
      </c>
    </row>
    <row r="102" spans="2:7" ht="13.5" thickBot="1" x14ac:dyDescent="0.25">
      <c r="B102" s="95"/>
      <c r="C102" s="96"/>
      <c r="E102" s="96" t="s">
        <v>229</v>
      </c>
      <c r="F102" s="97">
        <f>F82+F86+F90+F94+F98</f>
        <v>1403984</v>
      </c>
      <c r="G102" s="97">
        <f>G82+G86+G90+G94+G98</f>
        <v>1622781</v>
      </c>
    </row>
    <row r="103" spans="2:7" s="125" customFormat="1" ht="30" customHeight="1" thickBot="1" x14ac:dyDescent="0.3">
      <c r="B103" s="127" t="s">
        <v>280</v>
      </c>
      <c r="C103" s="1091" t="s">
        <v>279</v>
      </c>
      <c r="D103" s="1092"/>
      <c r="E103" s="128" t="s">
        <v>231</v>
      </c>
      <c r="F103" s="129">
        <f>SUM(F101:F102)</f>
        <v>1403984</v>
      </c>
      <c r="G103" s="129">
        <f>SUM(G101:G102)</f>
        <v>1622781</v>
      </c>
    </row>
    <row r="104" spans="2:7" ht="15.6" customHeight="1" x14ac:dyDescent="0.2">
      <c r="B104" s="102"/>
      <c r="C104" s="94"/>
      <c r="D104" s="103"/>
      <c r="E104" s="94"/>
      <c r="F104" s="104"/>
      <c r="G104" s="104"/>
    </row>
    <row r="105" spans="2:7" x14ac:dyDescent="0.2">
      <c r="B105" s="95"/>
      <c r="C105" s="96" t="s">
        <v>281</v>
      </c>
      <c r="E105" s="96" t="s">
        <v>228</v>
      </c>
      <c r="F105" s="97"/>
      <c r="G105" s="97"/>
    </row>
    <row r="106" spans="2:7" x14ac:dyDescent="0.2">
      <c r="B106" s="95"/>
      <c r="C106" s="96"/>
      <c r="E106" s="96" t="s">
        <v>229</v>
      </c>
      <c r="F106" s="97">
        <v>354402</v>
      </c>
      <c r="G106" s="97">
        <v>306681</v>
      </c>
    </row>
    <row r="107" spans="2:7" ht="15.6" customHeight="1" x14ac:dyDescent="0.2">
      <c r="B107" s="98" t="s">
        <v>282</v>
      </c>
      <c r="C107" s="136" t="s">
        <v>281</v>
      </c>
      <c r="D107" s="100"/>
      <c r="E107" s="99" t="s">
        <v>231</v>
      </c>
      <c r="F107" s="101">
        <f>SUM(F105:F106)</f>
        <v>354402</v>
      </c>
      <c r="G107" s="101">
        <f>SUM(G105:G106)</f>
        <v>306681</v>
      </c>
    </row>
    <row r="108" spans="2:7" ht="12" customHeight="1" x14ac:dyDescent="0.2">
      <c r="B108" s="95"/>
      <c r="C108" s="96"/>
      <c r="E108" s="96"/>
      <c r="F108" s="97"/>
      <c r="G108" s="97"/>
    </row>
    <row r="109" spans="2:7" x14ac:dyDescent="0.2">
      <c r="B109" s="95"/>
      <c r="C109" s="96" t="s">
        <v>283</v>
      </c>
      <c r="E109" s="96" t="s">
        <v>228</v>
      </c>
      <c r="F109" s="97"/>
      <c r="G109" s="97"/>
    </row>
    <row r="110" spans="2:7" x14ac:dyDescent="0.2">
      <c r="B110" s="95"/>
      <c r="C110" s="135"/>
      <c r="E110" s="96" t="s">
        <v>229</v>
      </c>
      <c r="F110" s="97">
        <v>0</v>
      </c>
      <c r="G110" s="97">
        <v>0</v>
      </c>
    </row>
    <row r="111" spans="2:7" ht="15.6" customHeight="1" x14ac:dyDescent="0.2">
      <c r="B111" s="98" t="s">
        <v>284</v>
      </c>
      <c r="C111" s="136" t="s">
        <v>283</v>
      </c>
      <c r="D111" s="100"/>
      <c r="E111" s="99" t="s">
        <v>231</v>
      </c>
      <c r="F111" s="101">
        <f>SUM(F109:F110)</f>
        <v>0</v>
      </c>
      <c r="G111" s="101">
        <f>SUM(G109:G110)</f>
        <v>0</v>
      </c>
    </row>
    <row r="112" spans="2:7" ht="12" customHeight="1" x14ac:dyDescent="0.2">
      <c r="B112" s="95"/>
      <c r="C112" s="96"/>
      <c r="E112" s="96"/>
      <c r="F112" s="97"/>
      <c r="G112" s="97"/>
    </row>
    <row r="113" spans="2:7" x14ac:dyDescent="0.2">
      <c r="B113" s="95"/>
      <c r="C113" s="96" t="s">
        <v>285</v>
      </c>
      <c r="E113" s="96" t="s">
        <v>228</v>
      </c>
      <c r="F113" s="97"/>
      <c r="G113" s="97"/>
    </row>
    <row r="114" spans="2:7" x14ac:dyDescent="0.2">
      <c r="B114" s="95"/>
      <c r="C114" s="96"/>
      <c r="E114" s="96" t="s">
        <v>229</v>
      </c>
      <c r="F114" s="97"/>
      <c r="G114" s="97">
        <v>0</v>
      </c>
    </row>
    <row r="115" spans="2:7" ht="15.6" customHeight="1" x14ac:dyDescent="0.2">
      <c r="B115" s="98" t="s">
        <v>286</v>
      </c>
      <c r="C115" s="136" t="s">
        <v>285</v>
      </c>
      <c r="D115" s="100"/>
      <c r="E115" s="99" t="s">
        <v>231</v>
      </c>
      <c r="F115" s="101">
        <f>SUM(F113:F114)</f>
        <v>0</v>
      </c>
      <c r="G115" s="101">
        <f>SUM(G113:G114)</f>
        <v>0</v>
      </c>
    </row>
    <row r="116" spans="2:7" ht="12" customHeight="1" x14ac:dyDescent="0.2">
      <c r="B116" s="102"/>
      <c r="C116" s="137"/>
      <c r="D116" s="103"/>
      <c r="E116" s="94"/>
      <c r="F116" s="104"/>
      <c r="G116" s="104"/>
    </row>
    <row r="117" spans="2:7" x14ac:dyDescent="0.2">
      <c r="B117" s="95"/>
      <c r="C117" s="96" t="s">
        <v>287</v>
      </c>
      <c r="E117" s="96" t="s">
        <v>228</v>
      </c>
      <c r="F117" s="97">
        <f>+F105+F109+F113</f>
        <v>0</v>
      </c>
      <c r="G117" s="97">
        <f>+G105+G109+G113</f>
        <v>0</v>
      </c>
    </row>
    <row r="118" spans="2:7" ht="13.5" thickBot="1" x14ac:dyDescent="0.25">
      <c r="B118" s="95"/>
      <c r="C118" s="96"/>
      <c r="E118" s="96" t="s">
        <v>229</v>
      </c>
      <c r="F118" s="97">
        <v>354402</v>
      </c>
      <c r="G118" s="97">
        <v>306681</v>
      </c>
    </row>
    <row r="119" spans="2:7" s="125" customFormat="1" ht="30" customHeight="1" thickBot="1" x14ac:dyDescent="0.3">
      <c r="B119" s="127" t="s">
        <v>288</v>
      </c>
      <c r="C119" s="1091" t="s">
        <v>287</v>
      </c>
      <c r="D119" s="1092"/>
      <c r="E119" s="128" t="s">
        <v>231</v>
      </c>
      <c r="F119" s="129">
        <f>SUM(F117:F118)</f>
        <v>354402</v>
      </c>
      <c r="G119" s="129">
        <f>SUM(G117:G118)</f>
        <v>306681</v>
      </c>
    </row>
    <row r="120" spans="2:7" ht="12" customHeight="1" x14ac:dyDescent="0.2">
      <c r="B120" s="138"/>
      <c r="C120" s="139"/>
      <c r="D120" s="140"/>
      <c r="E120" s="141"/>
      <c r="F120" s="142"/>
      <c r="G120" s="142"/>
    </row>
    <row r="121" spans="2:7" x14ac:dyDescent="0.2">
      <c r="B121" s="95"/>
      <c r="C121" s="96" t="s">
        <v>289</v>
      </c>
      <c r="E121" s="96" t="s">
        <v>228</v>
      </c>
      <c r="F121" s="97"/>
      <c r="G121" s="97"/>
    </row>
    <row r="122" spans="2:7" ht="13.5" thickBot="1" x14ac:dyDescent="0.25">
      <c r="B122" s="95"/>
      <c r="C122" s="96"/>
      <c r="E122" s="96" t="s">
        <v>229</v>
      </c>
      <c r="F122" s="97">
        <v>-11016</v>
      </c>
      <c r="G122" s="97">
        <v>-11484</v>
      </c>
    </row>
    <row r="123" spans="2:7" s="125" customFormat="1" ht="30" customHeight="1" thickBot="1" x14ac:dyDescent="0.3">
      <c r="B123" s="127" t="s">
        <v>290</v>
      </c>
      <c r="C123" s="1091" t="s">
        <v>289</v>
      </c>
      <c r="D123" s="1092"/>
      <c r="E123" s="128" t="s">
        <v>231</v>
      </c>
      <c r="F123" s="129">
        <f>SUM(F121:F122)</f>
        <v>-11016</v>
      </c>
      <c r="G123" s="129">
        <f>SUM(G121:G122)</f>
        <v>-11484</v>
      </c>
    </row>
    <row r="124" spans="2:7" ht="15.6" customHeight="1" x14ac:dyDescent="0.2">
      <c r="B124" s="102"/>
      <c r="C124" s="94"/>
      <c r="D124" s="103"/>
      <c r="E124" s="94"/>
      <c r="F124" s="104"/>
      <c r="G124" s="104"/>
    </row>
    <row r="125" spans="2:7" x14ac:dyDescent="0.2">
      <c r="B125" s="95"/>
      <c r="C125" s="96" t="s">
        <v>291</v>
      </c>
      <c r="E125" s="96" t="s">
        <v>228</v>
      </c>
      <c r="F125" s="97"/>
      <c r="G125" s="97"/>
    </row>
    <row r="126" spans="2:7" x14ac:dyDescent="0.2">
      <c r="B126" s="95"/>
      <c r="C126" s="96"/>
      <c r="E126" s="96" t="s">
        <v>229</v>
      </c>
      <c r="F126" s="97"/>
      <c r="G126" s="97">
        <v>0</v>
      </c>
    </row>
    <row r="127" spans="2:7" ht="31.5" customHeight="1" x14ac:dyDescent="0.2">
      <c r="B127" s="98" t="s">
        <v>292</v>
      </c>
      <c r="C127" s="1101" t="s">
        <v>291</v>
      </c>
      <c r="D127" s="1102"/>
      <c r="E127" s="99" t="s">
        <v>231</v>
      </c>
      <c r="F127" s="101">
        <f>SUM(F125:F126)</f>
        <v>0</v>
      </c>
      <c r="G127" s="101">
        <f>SUM(G125:G126)</f>
        <v>0</v>
      </c>
    </row>
    <row r="128" spans="2:7" ht="11.1" customHeight="1" x14ac:dyDescent="0.2">
      <c r="B128" s="95"/>
      <c r="C128" s="96"/>
      <c r="E128" s="96"/>
      <c r="F128" s="97"/>
      <c r="G128" s="97"/>
    </row>
    <row r="129" spans="2:7" x14ac:dyDescent="0.2">
      <c r="B129" s="95"/>
      <c r="C129" s="96" t="s">
        <v>293</v>
      </c>
      <c r="E129" s="96" t="s">
        <v>228</v>
      </c>
      <c r="F129" s="97"/>
      <c r="G129" s="97"/>
    </row>
    <row r="130" spans="2:7" x14ac:dyDescent="0.2">
      <c r="B130" s="95"/>
      <c r="C130" s="135"/>
      <c r="E130" s="96" t="s">
        <v>229</v>
      </c>
      <c r="F130" s="97"/>
      <c r="G130" s="97"/>
    </row>
    <row r="131" spans="2:7" ht="15.6" customHeight="1" x14ac:dyDescent="0.2">
      <c r="B131" s="98" t="s">
        <v>294</v>
      </c>
      <c r="C131" s="136" t="s">
        <v>293</v>
      </c>
      <c r="D131" s="100"/>
      <c r="E131" s="99" t="s">
        <v>231</v>
      </c>
      <c r="F131" s="101">
        <f>SUM(F129:F130)</f>
        <v>0</v>
      </c>
      <c r="G131" s="101">
        <f>SUM(G129:G130)</f>
        <v>0</v>
      </c>
    </row>
    <row r="132" spans="2:7" ht="11.1" customHeight="1" x14ac:dyDescent="0.2">
      <c r="B132" s="95"/>
      <c r="C132" s="96"/>
      <c r="E132" s="96"/>
      <c r="F132" s="97"/>
      <c r="G132" s="97"/>
    </row>
    <row r="133" spans="2:7" x14ac:dyDescent="0.2">
      <c r="B133" s="95"/>
      <c r="C133" s="96"/>
      <c r="E133" s="96"/>
      <c r="F133" s="97"/>
      <c r="G133" s="97"/>
    </row>
    <row r="134" spans="2:7" x14ac:dyDescent="0.2">
      <c r="B134" s="95"/>
      <c r="C134" s="96" t="s">
        <v>297</v>
      </c>
      <c r="E134" s="96" t="s">
        <v>228</v>
      </c>
      <c r="F134" s="97">
        <f>+F125+F129</f>
        <v>0</v>
      </c>
      <c r="G134" s="97">
        <f>+G125+G129</f>
        <v>0</v>
      </c>
    </row>
    <row r="135" spans="2:7" ht="13.5" thickBot="1" x14ac:dyDescent="0.25">
      <c r="B135" s="95"/>
      <c r="C135" s="96"/>
      <c r="E135" s="96" t="s">
        <v>229</v>
      </c>
      <c r="F135" s="97">
        <f>+F126+F130</f>
        <v>0</v>
      </c>
      <c r="G135" s="97">
        <f>+G126+G130</f>
        <v>0</v>
      </c>
    </row>
    <row r="136" spans="2:7" s="125" customFormat="1" ht="30" customHeight="1" thickBot="1" x14ac:dyDescent="0.3">
      <c r="B136" s="127" t="s">
        <v>298</v>
      </c>
      <c r="C136" s="1091" t="s">
        <v>297</v>
      </c>
      <c r="D136" s="1092"/>
      <c r="E136" s="128" t="s">
        <v>231</v>
      </c>
      <c r="F136" s="129">
        <f>SUM(F134:F135)</f>
        <v>0</v>
      </c>
      <c r="G136" s="129">
        <f>SUM(G134:G135)</f>
        <v>0</v>
      </c>
    </row>
    <row r="137" spans="2:7" x14ac:dyDescent="0.2">
      <c r="B137" s="95"/>
      <c r="C137" s="96"/>
      <c r="E137" s="96"/>
      <c r="F137" s="97"/>
      <c r="G137" s="97"/>
    </row>
    <row r="138" spans="2:7" x14ac:dyDescent="0.2">
      <c r="B138" s="95"/>
      <c r="C138" s="94" t="s">
        <v>224</v>
      </c>
      <c r="E138" s="96" t="s">
        <v>228</v>
      </c>
      <c r="F138" s="97">
        <v>0</v>
      </c>
      <c r="G138" s="97">
        <f>+F60+F72+G101+G117+G121+G134</f>
        <v>0</v>
      </c>
    </row>
    <row r="139" spans="2:7" ht="13.5" thickBot="1" x14ac:dyDescent="0.25">
      <c r="B139" s="95"/>
      <c r="C139" s="96"/>
      <c r="E139" s="96" t="s">
        <v>296</v>
      </c>
      <c r="F139" s="97">
        <f>+F62+F74+F103+F119+F123+F136</f>
        <v>3907809</v>
      </c>
      <c r="G139" s="97">
        <f>+G62+G74+G103+G119+G123+G136</f>
        <v>4022645</v>
      </c>
    </row>
    <row r="140" spans="2:7" s="125" customFormat="1" ht="30" customHeight="1" thickBot="1" x14ac:dyDescent="0.3">
      <c r="B140" s="127"/>
      <c r="C140" s="1091" t="s">
        <v>299</v>
      </c>
      <c r="D140" s="1092"/>
      <c r="E140" s="128" t="s">
        <v>231</v>
      </c>
      <c r="F140" s="129">
        <f>SUM(F138:F139)</f>
        <v>3907809</v>
      </c>
      <c r="G140" s="129">
        <f>SUM(G138:G139)</f>
        <v>4022645</v>
      </c>
    </row>
  </sheetData>
  <mergeCells count="14">
    <mergeCell ref="C74:D74"/>
    <mergeCell ref="C77:D77"/>
    <mergeCell ref="C136:D136"/>
    <mergeCell ref="C140:D140"/>
    <mergeCell ref="C103:D103"/>
    <mergeCell ref="C119:D119"/>
    <mergeCell ref="C123:D123"/>
    <mergeCell ref="C127:D127"/>
    <mergeCell ref="C62:D62"/>
    <mergeCell ref="B4:G4"/>
    <mergeCell ref="C8:D8"/>
    <mergeCell ref="C58:D58"/>
    <mergeCell ref="C60:D60"/>
    <mergeCell ref="B6:G6"/>
  </mergeCells>
  <phoneticPr fontId="30" type="noConversion"/>
  <pageMargins left="0.74803149606299213" right="0.74803149606299213" top="0.98425196850393704" bottom="0.98425196850393704" header="0.51181102362204722" footer="0.51181102362204722"/>
  <pageSetup paperSize="8" scale="50" orientation="portrait" r:id="rId1"/>
  <headerFooter alignWithMargins="0">
    <oddHeader>&amp;R11.MELLÉKLET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M85"/>
  <sheetViews>
    <sheetView topLeftCell="A40" zoomScaleNormal="100" workbookViewId="0">
      <selection activeCell="H77" sqref="H77"/>
    </sheetView>
  </sheetViews>
  <sheetFormatPr defaultRowHeight="12.75" x14ac:dyDescent="0.2"/>
  <cols>
    <col min="4" max="4" width="43.28515625" customWidth="1"/>
    <col min="5" max="5" width="14.140625" customWidth="1"/>
    <col min="6" max="6" width="12" customWidth="1"/>
    <col min="7" max="7" width="13.28515625" customWidth="1"/>
    <col min="12" max="12" width="13.28515625" customWidth="1"/>
  </cols>
  <sheetData>
    <row r="1" spans="1:13" x14ac:dyDescent="0.2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5" x14ac:dyDescent="0.25">
      <c r="A3" s="144"/>
      <c r="B3" s="143"/>
      <c r="C3" s="77"/>
      <c r="D3" s="1103" t="s">
        <v>222</v>
      </c>
      <c r="E3" s="1103"/>
      <c r="F3" s="1103"/>
      <c r="G3" s="1103"/>
      <c r="H3" s="1103"/>
      <c r="I3" s="144"/>
      <c r="J3" s="144"/>
      <c r="K3" s="144"/>
      <c r="L3" s="144"/>
      <c r="M3" s="144"/>
    </row>
    <row r="4" spans="1:13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2">
      <c r="A5" s="1100" t="s">
        <v>300</v>
      </c>
      <c r="B5" s="1011"/>
      <c r="C5" s="1011"/>
      <c r="D5" s="1011"/>
      <c r="E5" s="1011"/>
      <c r="F5" s="1011"/>
      <c r="G5" s="1011"/>
      <c r="H5" s="77"/>
      <c r="I5" s="144"/>
      <c r="J5" s="144"/>
      <c r="K5" s="144"/>
      <c r="L5" s="144"/>
      <c r="M5" s="144"/>
    </row>
    <row r="6" spans="1:13" ht="13.5" thickBot="1" x14ac:dyDescent="0.25">
      <c r="A6" s="144"/>
      <c r="B6" s="79"/>
      <c r="C6" s="79"/>
      <c r="D6" s="79"/>
      <c r="E6" s="79"/>
      <c r="F6" s="145" t="s">
        <v>225</v>
      </c>
      <c r="G6" s="77"/>
      <c r="H6" s="77"/>
      <c r="I6" s="144"/>
      <c r="J6" s="144"/>
      <c r="K6" s="144"/>
      <c r="L6" s="144"/>
      <c r="M6" s="144"/>
    </row>
    <row r="7" spans="1:13" x14ac:dyDescent="0.2">
      <c r="A7" s="144"/>
      <c r="B7" s="82"/>
      <c r="C7" s="1094" t="s">
        <v>140</v>
      </c>
      <c r="D7" s="1104"/>
      <c r="E7" s="83"/>
      <c r="F7" s="84" t="s">
        <v>795</v>
      </c>
      <c r="G7" s="84" t="s">
        <v>885</v>
      </c>
      <c r="H7" s="77"/>
      <c r="I7" s="144"/>
      <c r="J7" s="144"/>
      <c r="K7" s="144"/>
      <c r="L7" s="481"/>
      <c r="M7" s="144"/>
    </row>
    <row r="8" spans="1:13" x14ac:dyDescent="0.2">
      <c r="A8" s="144"/>
      <c r="B8" s="85"/>
      <c r="C8" s="86"/>
      <c r="D8" s="79"/>
      <c r="E8" s="87"/>
      <c r="F8" s="88" t="s">
        <v>226</v>
      </c>
      <c r="G8" s="88" t="s">
        <v>226</v>
      </c>
      <c r="H8" s="77"/>
      <c r="I8" s="144"/>
      <c r="J8" s="144"/>
      <c r="K8" s="144"/>
      <c r="L8" s="482"/>
      <c r="M8" s="144"/>
    </row>
    <row r="9" spans="1:13" ht="13.5" thickBot="1" x14ac:dyDescent="0.25">
      <c r="A9" s="144"/>
      <c r="B9" s="89"/>
      <c r="C9" s="90"/>
      <c r="D9" s="80"/>
      <c r="E9" s="91"/>
      <c r="F9" s="92" t="s">
        <v>887</v>
      </c>
      <c r="G9" s="92" t="s">
        <v>888</v>
      </c>
      <c r="H9" s="77"/>
      <c r="I9" s="144"/>
      <c r="J9" s="144"/>
      <c r="K9" s="144"/>
      <c r="L9" s="481"/>
      <c r="M9" s="144"/>
    </row>
    <row r="10" spans="1:13" x14ac:dyDescent="0.2">
      <c r="A10" s="144"/>
      <c r="B10" s="102"/>
      <c r="C10" s="94"/>
      <c r="D10" s="103"/>
      <c r="E10" s="94"/>
      <c r="F10" s="104"/>
      <c r="G10" s="104"/>
      <c r="H10" s="77"/>
      <c r="I10" s="144"/>
      <c r="J10" s="144"/>
      <c r="K10" s="144"/>
      <c r="L10" s="483"/>
      <c r="M10" s="144"/>
    </row>
    <row r="11" spans="1:13" x14ac:dyDescent="0.2">
      <c r="A11" s="144"/>
      <c r="B11" s="95"/>
      <c r="C11" s="96" t="s">
        <v>301</v>
      </c>
      <c r="D11" s="77"/>
      <c r="E11" s="96" t="s">
        <v>228</v>
      </c>
      <c r="F11" s="97"/>
      <c r="G11" s="97"/>
      <c r="H11" s="77"/>
      <c r="I11" s="144"/>
      <c r="J11" s="144"/>
      <c r="K11" s="144"/>
      <c r="L11" s="146"/>
      <c r="M11" s="144"/>
    </row>
    <row r="12" spans="1:13" x14ac:dyDescent="0.2">
      <c r="A12" s="144"/>
      <c r="B12" s="95"/>
      <c r="C12" s="96"/>
      <c r="D12" s="77"/>
      <c r="E12" s="96" t="s">
        <v>229</v>
      </c>
      <c r="F12" s="97">
        <v>135273</v>
      </c>
      <c r="G12" s="97">
        <v>135273</v>
      </c>
      <c r="H12" s="77"/>
      <c r="I12" s="144"/>
      <c r="J12" s="144"/>
      <c r="K12" s="144"/>
      <c r="L12" s="146"/>
      <c r="M12" s="144"/>
    </row>
    <row r="13" spans="1:13" x14ac:dyDescent="0.2">
      <c r="A13" s="144"/>
      <c r="B13" s="98" t="s">
        <v>302</v>
      </c>
      <c r="C13" s="136" t="s">
        <v>301</v>
      </c>
      <c r="D13" s="100"/>
      <c r="E13" s="99" t="s">
        <v>231</v>
      </c>
      <c r="F13" s="101">
        <v>135273</v>
      </c>
      <c r="G13" s="101">
        <f>G12</f>
        <v>135273</v>
      </c>
      <c r="H13" s="77"/>
      <c r="I13" s="144"/>
      <c r="J13" s="144"/>
      <c r="K13" s="144"/>
      <c r="L13" s="483"/>
      <c r="M13" s="144"/>
    </row>
    <row r="14" spans="1:13" x14ac:dyDescent="0.2">
      <c r="A14" s="144"/>
      <c r="B14" s="95"/>
      <c r="C14" s="96"/>
      <c r="D14" s="77"/>
      <c r="E14" s="96"/>
      <c r="F14" s="97"/>
      <c r="G14" s="97"/>
      <c r="H14" s="77"/>
      <c r="I14" s="144"/>
      <c r="J14" s="144"/>
      <c r="K14" s="144"/>
      <c r="L14" s="146"/>
      <c r="M14" s="144"/>
    </row>
    <row r="15" spans="1:13" x14ac:dyDescent="0.2">
      <c r="A15" s="144"/>
      <c r="B15" s="95"/>
      <c r="C15" s="96" t="s">
        <v>303</v>
      </c>
      <c r="D15" s="77"/>
      <c r="E15" s="96" t="s">
        <v>228</v>
      </c>
      <c r="F15" s="97"/>
      <c r="G15" s="97"/>
      <c r="H15" s="77"/>
      <c r="I15" s="144"/>
      <c r="J15" s="144"/>
      <c r="K15" s="144"/>
      <c r="L15" s="146"/>
      <c r="M15" s="144"/>
    </row>
    <row r="16" spans="1:13" x14ac:dyDescent="0.2">
      <c r="A16" s="144"/>
      <c r="B16" s="95"/>
      <c r="C16" s="135"/>
      <c r="D16" s="77"/>
      <c r="E16" s="96" t="s">
        <v>229</v>
      </c>
      <c r="F16" s="97"/>
      <c r="G16" s="97"/>
      <c r="H16" s="77"/>
      <c r="I16" s="144"/>
      <c r="J16" s="144"/>
      <c r="K16" s="144"/>
      <c r="L16" s="146"/>
      <c r="M16" s="144"/>
    </row>
    <row r="17" spans="1:13" x14ac:dyDescent="0.2">
      <c r="A17" s="144"/>
      <c r="B17" s="98" t="s">
        <v>304</v>
      </c>
      <c r="C17" s="136" t="s">
        <v>303</v>
      </c>
      <c r="D17" s="100"/>
      <c r="E17" s="99" t="s">
        <v>231</v>
      </c>
      <c r="F17" s="101">
        <v>0</v>
      </c>
      <c r="G17" s="101">
        <v>0</v>
      </c>
      <c r="H17" s="144"/>
      <c r="I17" s="144"/>
      <c r="J17" s="144"/>
      <c r="K17" s="144"/>
      <c r="L17" s="483"/>
      <c r="M17" s="144"/>
    </row>
    <row r="18" spans="1:13" x14ac:dyDescent="0.2">
      <c r="A18" s="144"/>
      <c r="B18" s="95"/>
      <c r="C18" s="96"/>
      <c r="D18" s="77"/>
      <c r="E18" s="96"/>
      <c r="F18" s="97"/>
      <c r="G18" s="97"/>
      <c r="H18" s="144"/>
      <c r="I18" s="144"/>
      <c r="J18" s="144"/>
      <c r="K18" s="144"/>
      <c r="L18" s="146"/>
      <c r="M18" s="144"/>
    </row>
    <row r="19" spans="1:13" x14ac:dyDescent="0.2">
      <c r="A19" s="144"/>
      <c r="B19" s="95"/>
      <c r="C19" s="96" t="s">
        <v>305</v>
      </c>
      <c r="D19" s="77"/>
      <c r="E19" s="96" t="s">
        <v>228</v>
      </c>
      <c r="F19" s="97"/>
      <c r="G19" s="97"/>
      <c r="H19" s="144"/>
      <c r="I19" s="144"/>
      <c r="J19" s="144"/>
      <c r="K19" s="144"/>
      <c r="L19" s="146"/>
      <c r="M19" s="144"/>
    </row>
    <row r="20" spans="1:13" x14ac:dyDescent="0.2">
      <c r="A20" s="144"/>
      <c r="B20" s="95"/>
      <c r="C20" s="96"/>
      <c r="D20" s="77"/>
      <c r="E20" s="96" t="s">
        <v>229</v>
      </c>
      <c r="F20" s="97">
        <v>422392</v>
      </c>
      <c r="G20" s="97">
        <v>422392</v>
      </c>
      <c r="H20" s="144"/>
      <c r="I20" s="144"/>
      <c r="J20" s="144"/>
      <c r="K20" s="144"/>
      <c r="L20" s="146"/>
      <c r="M20" s="144"/>
    </row>
    <row r="21" spans="1:13" x14ac:dyDescent="0.2">
      <c r="A21" s="144"/>
      <c r="B21" s="98" t="s">
        <v>306</v>
      </c>
      <c r="C21" s="136" t="s">
        <v>305</v>
      </c>
      <c r="D21" s="100"/>
      <c r="E21" s="99" t="s">
        <v>231</v>
      </c>
      <c r="F21" s="101">
        <v>422392</v>
      </c>
      <c r="G21" s="101">
        <f>G20</f>
        <v>422392</v>
      </c>
      <c r="H21" s="144"/>
      <c r="I21" s="144"/>
      <c r="J21" s="144"/>
      <c r="K21" s="144"/>
      <c r="L21" s="483"/>
      <c r="M21" s="144"/>
    </row>
    <row r="22" spans="1:13" x14ac:dyDescent="0.2">
      <c r="A22" s="144"/>
      <c r="B22" s="95"/>
      <c r="C22" s="96"/>
      <c r="D22" s="77"/>
      <c r="E22" s="96"/>
      <c r="F22" s="97"/>
      <c r="G22" s="97"/>
      <c r="H22" s="144"/>
      <c r="I22" s="144"/>
      <c r="J22" s="144"/>
      <c r="K22" s="144"/>
      <c r="L22" s="146"/>
      <c r="M22" s="144"/>
    </row>
    <row r="23" spans="1:13" x14ac:dyDescent="0.2">
      <c r="A23" s="144"/>
      <c r="B23" s="95"/>
      <c r="C23" s="96" t="s">
        <v>307</v>
      </c>
      <c r="D23" s="77"/>
      <c r="E23" s="96" t="s">
        <v>228</v>
      </c>
      <c r="F23" s="97"/>
      <c r="G23" s="97"/>
      <c r="H23" s="144"/>
      <c r="I23" s="144"/>
      <c r="J23" s="144"/>
      <c r="K23" s="144"/>
      <c r="L23" s="146"/>
      <c r="M23" s="144"/>
    </row>
    <row r="24" spans="1:13" x14ac:dyDescent="0.2">
      <c r="A24" s="144"/>
      <c r="B24" s="95"/>
      <c r="C24" s="96"/>
      <c r="D24" s="77"/>
      <c r="E24" s="96" t="s">
        <v>229</v>
      </c>
      <c r="F24" s="97">
        <v>1505019</v>
      </c>
      <c r="G24" s="97">
        <v>1688028</v>
      </c>
      <c r="H24" s="144"/>
      <c r="I24" s="144"/>
      <c r="J24" s="144"/>
      <c r="K24" s="144"/>
      <c r="L24" s="146"/>
      <c r="M24" s="144"/>
    </row>
    <row r="25" spans="1:13" x14ac:dyDescent="0.2">
      <c r="A25" s="144"/>
      <c r="B25" s="98" t="s">
        <v>308</v>
      </c>
      <c r="C25" s="136" t="s">
        <v>307</v>
      </c>
      <c r="D25" s="100"/>
      <c r="E25" s="99" t="s">
        <v>231</v>
      </c>
      <c r="F25" s="101">
        <f>F23+F24</f>
        <v>1505019</v>
      </c>
      <c r="G25" s="101">
        <f>G23+G24</f>
        <v>1688028</v>
      </c>
      <c r="H25" s="144"/>
      <c r="I25" s="144"/>
      <c r="J25" s="144"/>
      <c r="K25" s="144"/>
      <c r="L25" s="483"/>
      <c r="M25" s="144"/>
    </row>
    <row r="26" spans="1:13" x14ac:dyDescent="0.2">
      <c r="A26" s="144"/>
      <c r="B26" s="95"/>
      <c r="C26" s="96"/>
      <c r="D26" s="77"/>
      <c r="E26" s="96"/>
      <c r="F26" s="97"/>
      <c r="G26" s="97"/>
      <c r="H26" s="144"/>
      <c r="I26" s="144"/>
      <c r="J26" s="144"/>
      <c r="K26" s="144"/>
      <c r="L26" s="146"/>
      <c r="M26" s="144"/>
    </row>
    <row r="27" spans="1:13" x14ac:dyDescent="0.2">
      <c r="A27" s="144"/>
      <c r="B27" s="95"/>
      <c r="C27" s="96" t="s">
        <v>309</v>
      </c>
      <c r="D27" s="77"/>
      <c r="E27" s="96" t="s">
        <v>228</v>
      </c>
      <c r="F27" s="97">
        <v>0</v>
      </c>
      <c r="G27" s="97">
        <v>0</v>
      </c>
      <c r="H27" s="144"/>
      <c r="I27" s="144"/>
      <c r="J27" s="144"/>
      <c r="K27" s="144"/>
      <c r="L27" s="146"/>
      <c r="M27" s="144"/>
    </row>
    <row r="28" spans="1:13" x14ac:dyDescent="0.2">
      <c r="A28" s="144"/>
      <c r="B28" s="95"/>
      <c r="C28" s="96"/>
      <c r="D28" s="77"/>
      <c r="E28" s="96" t="s">
        <v>229</v>
      </c>
      <c r="F28" s="97">
        <v>0</v>
      </c>
      <c r="G28" s="97">
        <v>0</v>
      </c>
      <c r="H28" s="144"/>
      <c r="I28" s="144"/>
      <c r="J28" s="144"/>
      <c r="K28" s="144"/>
      <c r="L28" s="146"/>
      <c r="M28" s="144"/>
    </row>
    <row r="29" spans="1:13" x14ac:dyDescent="0.2">
      <c r="A29" s="144"/>
      <c r="B29" s="98" t="s">
        <v>310</v>
      </c>
      <c r="C29" s="136" t="s">
        <v>309</v>
      </c>
      <c r="D29" s="100"/>
      <c r="E29" s="99" t="s">
        <v>231</v>
      </c>
      <c r="F29" s="101">
        <v>0</v>
      </c>
      <c r="G29" s="101">
        <v>0</v>
      </c>
      <c r="H29" s="144"/>
      <c r="I29" s="144"/>
      <c r="J29" s="144"/>
      <c r="K29" s="144"/>
      <c r="L29" s="483"/>
      <c r="M29" s="144"/>
    </row>
    <row r="30" spans="1:13" x14ac:dyDescent="0.2">
      <c r="A30" s="144"/>
      <c r="B30" s="95"/>
      <c r="C30" s="96"/>
      <c r="D30" s="77"/>
      <c r="E30" s="96"/>
      <c r="F30" s="97"/>
      <c r="G30" s="97"/>
      <c r="H30" s="144"/>
      <c r="I30" s="144"/>
      <c r="J30" s="144"/>
      <c r="K30" s="144"/>
      <c r="L30" s="146"/>
      <c r="M30" s="144"/>
    </row>
    <row r="31" spans="1:13" x14ac:dyDescent="0.2">
      <c r="A31" s="144"/>
      <c r="B31" s="95"/>
      <c r="C31" s="96" t="s">
        <v>311</v>
      </c>
      <c r="D31" s="77"/>
      <c r="E31" s="96" t="s">
        <v>228</v>
      </c>
      <c r="F31" s="97"/>
      <c r="G31" s="97"/>
      <c r="H31" s="144"/>
      <c r="I31" s="144"/>
      <c r="J31" s="144"/>
      <c r="K31" s="144"/>
      <c r="L31" s="146"/>
      <c r="M31" s="144"/>
    </row>
    <row r="32" spans="1:13" x14ac:dyDescent="0.2">
      <c r="A32" s="144"/>
      <c r="B32" s="95"/>
      <c r="C32" s="96"/>
      <c r="D32" s="77"/>
      <c r="E32" s="96" t="s">
        <v>229</v>
      </c>
      <c r="F32" s="97">
        <v>183009</v>
      </c>
      <c r="G32" s="97">
        <v>164743</v>
      </c>
      <c r="H32" s="144"/>
      <c r="I32" s="144"/>
      <c r="J32" s="144"/>
      <c r="K32" s="144"/>
      <c r="L32" s="146"/>
      <c r="M32" s="144"/>
    </row>
    <row r="33" spans="1:13" x14ac:dyDescent="0.2">
      <c r="A33" s="144"/>
      <c r="B33" s="98" t="s">
        <v>312</v>
      </c>
      <c r="C33" s="136" t="s">
        <v>311</v>
      </c>
      <c r="D33" s="100"/>
      <c r="E33" s="99" t="s">
        <v>231</v>
      </c>
      <c r="F33" s="101">
        <f>F31+F32</f>
        <v>183009</v>
      </c>
      <c r="G33" s="101">
        <f>G31+G32</f>
        <v>164743</v>
      </c>
      <c r="H33" s="144"/>
      <c r="I33" s="144"/>
      <c r="J33" s="144"/>
      <c r="K33" s="144"/>
      <c r="L33" s="483"/>
      <c r="M33" s="144"/>
    </row>
    <row r="34" spans="1:13" x14ac:dyDescent="0.2">
      <c r="A34" s="144"/>
      <c r="B34" s="102"/>
      <c r="C34" s="137"/>
      <c r="D34" s="103"/>
      <c r="E34" s="94"/>
      <c r="F34" s="104"/>
      <c r="G34" s="104"/>
      <c r="H34" s="144"/>
      <c r="I34" s="144"/>
      <c r="J34" s="144"/>
      <c r="K34" s="144"/>
      <c r="L34" s="483"/>
      <c r="M34" s="144"/>
    </row>
    <row r="35" spans="1:13" x14ac:dyDescent="0.2">
      <c r="A35" s="144"/>
      <c r="B35" s="95"/>
      <c r="C35" s="96" t="s">
        <v>313</v>
      </c>
      <c r="D35" s="77"/>
      <c r="E35" s="96" t="s">
        <v>228</v>
      </c>
      <c r="F35" s="97">
        <v>0</v>
      </c>
      <c r="G35" s="97">
        <v>0</v>
      </c>
      <c r="H35" s="144"/>
      <c r="I35" s="144"/>
      <c r="J35" s="144"/>
      <c r="K35" s="144"/>
      <c r="L35" s="146"/>
      <c r="M35" s="144"/>
    </row>
    <row r="36" spans="1:13" ht="13.5" thickBot="1" x14ac:dyDescent="0.25">
      <c r="A36" s="144"/>
      <c r="B36" s="95"/>
      <c r="C36" s="96"/>
      <c r="D36" s="77"/>
      <c r="E36" s="96" t="s">
        <v>229</v>
      </c>
      <c r="F36" s="97">
        <v>2245693</v>
      </c>
      <c r="G36" s="97">
        <v>2410436</v>
      </c>
      <c r="H36" s="144"/>
      <c r="I36" s="144"/>
      <c r="J36" s="144"/>
      <c r="K36" s="144"/>
      <c r="L36" s="146"/>
      <c r="M36" s="144"/>
    </row>
    <row r="37" spans="1:13" ht="15.75" thickBot="1" x14ac:dyDescent="0.3">
      <c r="A37" s="144"/>
      <c r="B37" s="127" t="s">
        <v>314</v>
      </c>
      <c r="C37" s="1091" t="s">
        <v>315</v>
      </c>
      <c r="D37" s="1105"/>
      <c r="E37" s="128" t="s">
        <v>231</v>
      </c>
      <c r="F37" s="129">
        <f>F13+F17+F21+F25+F29+F33</f>
        <v>2245693</v>
      </c>
      <c r="G37" s="129">
        <f>G13+G17+G21+G25+G29+G33</f>
        <v>2410436</v>
      </c>
      <c r="H37" s="144"/>
      <c r="I37" s="144"/>
      <c r="J37" s="144"/>
      <c r="K37" s="144"/>
      <c r="L37" s="134"/>
      <c r="M37" s="144"/>
    </row>
    <row r="38" spans="1:13" x14ac:dyDescent="0.2">
      <c r="A38" s="144"/>
      <c r="B38" s="102"/>
      <c r="C38" s="94"/>
      <c r="D38" s="103"/>
      <c r="E38" s="94"/>
      <c r="F38" s="104"/>
      <c r="G38" s="104"/>
      <c r="H38" s="144"/>
      <c r="I38" s="144"/>
      <c r="J38" s="144"/>
      <c r="K38" s="144"/>
      <c r="L38" s="483"/>
      <c r="M38" s="144"/>
    </row>
    <row r="39" spans="1:13" x14ac:dyDescent="0.2">
      <c r="A39" s="144"/>
      <c r="B39" s="95"/>
      <c r="C39" s="96" t="s">
        <v>316</v>
      </c>
      <c r="D39" s="77"/>
      <c r="E39" s="96" t="s">
        <v>228</v>
      </c>
      <c r="F39" s="97"/>
      <c r="G39" s="97"/>
      <c r="H39" s="144"/>
      <c r="I39" s="144"/>
      <c r="J39" s="144"/>
      <c r="K39" s="144"/>
      <c r="L39" s="146"/>
      <c r="M39" s="144"/>
    </row>
    <row r="40" spans="1:13" x14ac:dyDescent="0.2">
      <c r="A40" s="144"/>
      <c r="B40" s="95"/>
      <c r="C40" s="96"/>
      <c r="D40" s="77"/>
      <c r="E40" s="96" t="s">
        <v>229</v>
      </c>
      <c r="F40" s="97">
        <v>0</v>
      </c>
      <c r="G40" s="97">
        <v>0</v>
      </c>
      <c r="H40" s="144"/>
      <c r="I40" s="144"/>
      <c r="J40" s="144"/>
      <c r="K40" s="144"/>
      <c r="L40" s="146"/>
      <c r="M40" s="144"/>
    </row>
    <row r="41" spans="1:13" x14ac:dyDescent="0.2">
      <c r="A41" s="144"/>
      <c r="B41" s="98" t="s">
        <v>317</v>
      </c>
      <c r="C41" s="136" t="s">
        <v>316</v>
      </c>
      <c r="D41" s="100"/>
      <c r="E41" s="99" t="s">
        <v>231</v>
      </c>
      <c r="F41" s="101">
        <f>F39+F40</f>
        <v>0</v>
      </c>
      <c r="G41" s="101">
        <f>G39+G40</f>
        <v>0</v>
      </c>
      <c r="H41" s="144"/>
      <c r="I41" s="144"/>
      <c r="J41" s="144"/>
      <c r="K41" s="144"/>
      <c r="L41" s="483"/>
      <c r="M41" s="144"/>
    </row>
    <row r="42" spans="1:13" x14ac:dyDescent="0.2">
      <c r="A42" s="144"/>
      <c r="B42" s="95"/>
      <c r="C42" s="96"/>
      <c r="D42" s="77"/>
      <c r="E42" s="96"/>
      <c r="F42" s="97"/>
      <c r="G42" s="97"/>
      <c r="H42" s="144"/>
      <c r="I42" s="144"/>
      <c r="J42" s="144"/>
      <c r="K42" s="144"/>
      <c r="L42" s="146"/>
      <c r="M42" s="144"/>
    </row>
    <row r="43" spans="1:13" x14ac:dyDescent="0.2">
      <c r="A43" s="144"/>
      <c r="B43" s="95"/>
      <c r="C43" s="96" t="s">
        <v>318</v>
      </c>
      <c r="D43" s="77"/>
      <c r="E43" s="96" t="s">
        <v>228</v>
      </c>
      <c r="F43" s="97"/>
      <c r="G43" s="97"/>
      <c r="H43" s="144"/>
      <c r="I43" s="144"/>
      <c r="J43" s="144"/>
      <c r="K43" s="144"/>
      <c r="L43" s="146"/>
      <c r="M43" s="144"/>
    </row>
    <row r="44" spans="1:13" x14ac:dyDescent="0.2">
      <c r="A44" s="144"/>
      <c r="B44" s="95"/>
      <c r="C44" s="135"/>
      <c r="D44" s="77"/>
      <c r="E44" s="96" t="s">
        <v>229</v>
      </c>
      <c r="F44" s="97">
        <v>0</v>
      </c>
      <c r="G44" s="97">
        <v>0</v>
      </c>
      <c r="H44" s="144"/>
      <c r="I44" s="144"/>
      <c r="J44" s="144"/>
      <c r="K44" s="144"/>
      <c r="L44" s="146"/>
      <c r="M44" s="144"/>
    </row>
    <row r="45" spans="1:13" x14ac:dyDescent="0.2">
      <c r="A45" s="144"/>
      <c r="B45" s="98" t="s">
        <v>319</v>
      </c>
      <c r="C45" s="136" t="s">
        <v>318</v>
      </c>
      <c r="D45" s="100"/>
      <c r="E45" s="99" t="s">
        <v>231</v>
      </c>
      <c r="F45" s="101">
        <f>F43+F44</f>
        <v>0</v>
      </c>
      <c r="G45" s="101">
        <f>G43+G44</f>
        <v>0</v>
      </c>
      <c r="H45" s="144"/>
      <c r="I45" s="144"/>
      <c r="J45" s="144"/>
      <c r="K45" s="144"/>
      <c r="L45" s="483"/>
      <c r="M45" s="144"/>
    </row>
    <row r="46" spans="1:13" x14ac:dyDescent="0.2">
      <c r="A46" s="144"/>
      <c r="B46" s="95"/>
      <c r="C46" s="96"/>
      <c r="D46" s="77"/>
      <c r="E46" s="96"/>
      <c r="F46" s="97"/>
      <c r="G46" s="97"/>
      <c r="H46" s="144"/>
      <c r="I46" s="144"/>
      <c r="J46" s="144"/>
      <c r="K46" s="144"/>
      <c r="L46" s="146"/>
      <c r="M46" s="144"/>
    </row>
    <row r="47" spans="1:13" x14ac:dyDescent="0.2">
      <c r="A47" s="144"/>
      <c r="B47" s="95"/>
      <c r="C47" s="96" t="s">
        <v>320</v>
      </c>
      <c r="D47" s="77"/>
      <c r="E47" s="96" t="s">
        <v>228</v>
      </c>
      <c r="F47" s="97"/>
      <c r="G47" s="97"/>
      <c r="H47" s="144"/>
      <c r="I47" s="144"/>
      <c r="J47" s="144"/>
      <c r="K47" s="144"/>
      <c r="L47" s="146"/>
      <c r="M47" s="144"/>
    </row>
    <row r="48" spans="1:13" x14ac:dyDescent="0.2">
      <c r="A48" s="144"/>
      <c r="B48" s="95"/>
      <c r="C48" s="96"/>
      <c r="D48" s="77"/>
      <c r="E48" s="96" t="s">
        <v>229</v>
      </c>
      <c r="F48" s="97"/>
      <c r="G48" s="97">
        <v>0</v>
      </c>
      <c r="H48" s="144"/>
      <c r="I48" s="144"/>
      <c r="J48" s="144"/>
      <c r="K48" s="144"/>
      <c r="L48" s="146"/>
      <c r="M48" s="144"/>
    </row>
    <row r="49" spans="1:13" x14ac:dyDescent="0.2">
      <c r="A49" s="144"/>
      <c r="B49" s="98" t="s">
        <v>321</v>
      </c>
      <c r="C49" s="136" t="s">
        <v>320</v>
      </c>
      <c r="D49" s="100"/>
      <c r="E49" s="99" t="s">
        <v>231</v>
      </c>
      <c r="F49" s="101">
        <f>F47+F48</f>
        <v>0</v>
      </c>
      <c r="G49" s="101">
        <f>G47+G48</f>
        <v>0</v>
      </c>
      <c r="H49" s="77"/>
      <c r="I49" s="77"/>
      <c r="J49" s="77"/>
      <c r="K49" s="77"/>
      <c r="L49" s="483"/>
      <c r="M49" s="77"/>
    </row>
    <row r="50" spans="1:13" x14ac:dyDescent="0.2">
      <c r="A50" s="144"/>
      <c r="B50" s="102"/>
      <c r="C50" s="137"/>
      <c r="D50" s="103"/>
      <c r="E50" s="94"/>
      <c r="F50" s="104"/>
      <c r="G50" s="104"/>
      <c r="H50" s="77"/>
      <c r="I50" s="77"/>
      <c r="J50" s="77"/>
      <c r="K50" s="77"/>
      <c r="L50" s="483"/>
      <c r="M50" s="77"/>
    </row>
    <row r="51" spans="1:13" x14ac:dyDescent="0.2">
      <c r="A51" s="144"/>
      <c r="B51" s="95"/>
      <c r="C51" s="96" t="s">
        <v>322</v>
      </c>
      <c r="D51" s="77"/>
      <c r="E51" s="96" t="s">
        <v>228</v>
      </c>
      <c r="F51" s="97">
        <f>F39+F43+F47</f>
        <v>0</v>
      </c>
      <c r="G51" s="97">
        <v>0</v>
      </c>
      <c r="H51" s="77"/>
      <c r="I51" s="77"/>
      <c r="J51" s="77"/>
      <c r="K51" s="77"/>
      <c r="L51" s="146"/>
      <c r="M51" s="77"/>
    </row>
    <row r="52" spans="1:13" ht="13.5" thickBot="1" x14ac:dyDescent="0.25">
      <c r="A52" s="144"/>
      <c r="B52" s="95"/>
      <c r="C52" s="96"/>
      <c r="D52" s="77"/>
      <c r="E52" s="96" t="s">
        <v>229</v>
      </c>
      <c r="F52" s="97"/>
      <c r="G52" s="97">
        <v>0</v>
      </c>
      <c r="H52" s="77"/>
      <c r="I52" s="77"/>
      <c r="J52" s="77"/>
      <c r="K52" s="77"/>
      <c r="L52" s="146"/>
      <c r="M52" s="77"/>
    </row>
    <row r="53" spans="1:13" ht="15.75" thickBot="1" x14ac:dyDescent="0.3">
      <c r="A53" s="144"/>
      <c r="B53" s="127" t="s">
        <v>323</v>
      </c>
      <c r="C53" s="1091" t="s">
        <v>322</v>
      </c>
      <c r="D53" s="1105"/>
      <c r="E53" s="128" t="s">
        <v>231</v>
      </c>
      <c r="F53" s="129">
        <f>F41+F45+F49</f>
        <v>0</v>
      </c>
      <c r="G53" s="129">
        <f>G41+G45+G49</f>
        <v>0</v>
      </c>
      <c r="H53" s="77"/>
      <c r="I53" s="77"/>
      <c r="J53" s="77"/>
      <c r="K53" s="77"/>
      <c r="L53" s="134"/>
      <c r="M53" s="77"/>
    </row>
    <row r="54" spans="1:13" x14ac:dyDescent="0.2">
      <c r="A54" s="144"/>
      <c r="B54" s="102"/>
      <c r="C54" s="94"/>
      <c r="D54" s="103"/>
      <c r="E54" s="94"/>
      <c r="F54" s="104"/>
      <c r="G54" s="104"/>
      <c r="H54" s="77"/>
      <c r="I54" s="77"/>
      <c r="J54" s="77"/>
      <c r="K54" s="77"/>
      <c r="L54" s="483"/>
      <c r="M54" s="77"/>
    </row>
    <row r="55" spans="1:13" x14ac:dyDescent="0.2">
      <c r="A55" s="144"/>
      <c r="B55" s="95"/>
      <c r="C55" s="96" t="s">
        <v>325</v>
      </c>
      <c r="D55" s="77"/>
      <c r="E55" s="96" t="s">
        <v>228</v>
      </c>
      <c r="F55" s="97">
        <v>0</v>
      </c>
      <c r="G55" s="97">
        <v>0</v>
      </c>
      <c r="H55" s="77"/>
      <c r="I55" s="77"/>
      <c r="J55" s="77"/>
      <c r="K55" s="77"/>
      <c r="L55" s="146"/>
      <c r="M55" s="77"/>
    </row>
    <row r="56" spans="1:13" x14ac:dyDescent="0.2">
      <c r="A56" s="144"/>
      <c r="B56" s="95"/>
      <c r="C56" s="96"/>
      <c r="D56" s="77"/>
      <c r="E56" s="96" t="s">
        <v>229</v>
      </c>
      <c r="F56" s="97"/>
      <c r="G56" s="97"/>
      <c r="H56" s="77"/>
      <c r="I56" s="77"/>
      <c r="J56" s="77"/>
      <c r="K56" s="77"/>
      <c r="L56" s="146"/>
      <c r="M56" s="77"/>
    </row>
    <row r="57" spans="1:13" x14ac:dyDescent="0.2">
      <c r="A57" s="144"/>
      <c r="B57" s="98" t="s">
        <v>468</v>
      </c>
      <c r="C57" s="1101" t="s">
        <v>326</v>
      </c>
      <c r="D57" s="1106"/>
      <c r="E57" s="99" t="s">
        <v>231</v>
      </c>
      <c r="F57" s="101">
        <v>0</v>
      </c>
      <c r="G57" s="101">
        <v>0</v>
      </c>
      <c r="H57" s="144"/>
      <c r="I57" s="144"/>
      <c r="J57" s="144"/>
      <c r="K57" s="144"/>
      <c r="L57" s="483"/>
      <c r="M57" s="144"/>
    </row>
    <row r="58" spans="1:13" x14ac:dyDescent="0.2">
      <c r="A58" s="144"/>
      <c r="B58" s="95"/>
      <c r="C58" s="96"/>
      <c r="D58" s="77"/>
      <c r="E58" s="96"/>
      <c r="F58" s="97"/>
      <c r="G58" s="97"/>
      <c r="H58" s="144"/>
      <c r="I58" s="144"/>
      <c r="J58" s="144"/>
      <c r="K58" s="144"/>
      <c r="L58" s="146"/>
      <c r="M58" s="144"/>
    </row>
    <row r="59" spans="1:13" x14ac:dyDescent="0.2">
      <c r="A59" s="144"/>
      <c r="B59" s="95"/>
      <c r="C59" s="96" t="s">
        <v>293</v>
      </c>
      <c r="D59" s="77"/>
      <c r="E59" s="96" t="s">
        <v>228</v>
      </c>
      <c r="F59" s="97"/>
      <c r="G59" s="97"/>
      <c r="H59" s="144"/>
      <c r="I59" s="144"/>
      <c r="J59" s="144"/>
      <c r="K59" s="144"/>
      <c r="L59" s="146"/>
      <c r="M59" s="144"/>
    </row>
    <row r="60" spans="1:13" x14ac:dyDescent="0.2">
      <c r="A60" s="144"/>
      <c r="B60" s="95"/>
      <c r="C60" s="135"/>
      <c r="D60" s="77"/>
      <c r="E60" s="96" t="s">
        <v>229</v>
      </c>
      <c r="F60" s="97">
        <v>2252</v>
      </c>
      <c r="G60" s="97">
        <v>5472</v>
      </c>
      <c r="H60" s="144"/>
      <c r="I60" s="144"/>
      <c r="J60" s="144"/>
      <c r="K60" s="144"/>
      <c r="L60" s="146"/>
      <c r="M60" s="144"/>
    </row>
    <row r="61" spans="1:13" x14ac:dyDescent="0.2">
      <c r="A61" s="144"/>
      <c r="B61" s="98" t="s">
        <v>469</v>
      </c>
      <c r="C61" s="136" t="s">
        <v>327</v>
      </c>
      <c r="D61" s="100"/>
      <c r="E61" s="99" t="s">
        <v>231</v>
      </c>
      <c r="F61" s="101">
        <f>F59+F60</f>
        <v>2252</v>
      </c>
      <c r="G61" s="101">
        <f>G59+G60</f>
        <v>5472</v>
      </c>
      <c r="H61" s="144"/>
      <c r="I61" s="144"/>
      <c r="J61" s="144"/>
      <c r="K61" s="144"/>
      <c r="L61" s="483"/>
      <c r="M61" s="144"/>
    </row>
    <row r="62" spans="1:13" x14ac:dyDescent="0.2">
      <c r="A62" s="144"/>
      <c r="B62" s="95"/>
      <c r="C62" s="96"/>
      <c r="D62" s="77"/>
      <c r="E62" s="96"/>
      <c r="F62" s="97"/>
      <c r="G62" s="97"/>
      <c r="H62" s="144"/>
      <c r="I62" s="144"/>
      <c r="J62" s="144"/>
      <c r="K62" s="144"/>
      <c r="L62" s="146"/>
      <c r="M62" s="144"/>
    </row>
    <row r="63" spans="1:13" x14ac:dyDescent="0.2">
      <c r="A63" s="144"/>
      <c r="B63" s="95"/>
      <c r="C63" s="96" t="s">
        <v>546</v>
      </c>
      <c r="D63" s="77"/>
      <c r="E63" s="96" t="s">
        <v>228</v>
      </c>
      <c r="F63" s="97"/>
      <c r="G63" s="97"/>
      <c r="H63" s="144"/>
      <c r="I63" s="144"/>
      <c r="J63" s="144"/>
      <c r="K63" s="144"/>
      <c r="L63" s="146"/>
      <c r="M63" s="144"/>
    </row>
    <row r="64" spans="1:13" x14ac:dyDescent="0.2">
      <c r="A64" s="144"/>
      <c r="B64" s="95"/>
      <c r="C64" s="96"/>
      <c r="D64" s="77"/>
      <c r="E64" s="96" t="s">
        <v>229</v>
      </c>
      <c r="F64" s="97">
        <v>1659864</v>
      </c>
      <c r="G64" s="97">
        <v>1606738</v>
      </c>
      <c r="H64" s="144"/>
      <c r="I64" s="144"/>
      <c r="J64" s="144"/>
      <c r="K64" s="144"/>
      <c r="L64" s="146"/>
      <c r="M64" s="144"/>
    </row>
    <row r="65" spans="1:13" x14ac:dyDescent="0.2">
      <c r="A65" s="144"/>
      <c r="B65" s="98" t="s">
        <v>545</v>
      </c>
      <c r="C65" s="136" t="s">
        <v>295</v>
      </c>
      <c r="D65" s="100"/>
      <c r="E65" s="99" t="s">
        <v>231</v>
      </c>
      <c r="F65" s="101">
        <f>F63+F64</f>
        <v>1659864</v>
      </c>
      <c r="G65" s="101">
        <f>G63+G64</f>
        <v>1606738</v>
      </c>
      <c r="H65" s="144"/>
      <c r="I65" s="144"/>
      <c r="J65" s="144"/>
      <c r="K65" s="144"/>
      <c r="L65" s="483"/>
      <c r="M65" s="144"/>
    </row>
    <row r="66" spans="1:13" x14ac:dyDescent="0.2">
      <c r="A66" s="144"/>
      <c r="B66" s="95"/>
      <c r="C66" s="96"/>
      <c r="D66" s="77"/>
      <c r="E66" s="96"/>
      <c r="F66" s="97"/>
      <c r="G66" s="97"/>
      <c r="H66" s="144"/>
      <c r="I66" s="144"/>
      <c r="J66" s="144"/>
      <c r="K66" s="144"/>
      <c r="L66" s="146"/>
      <c r="M66" s="144"/>
    </row>
    <row r="67" spans="1:13" x14ac:dyDescent="0.2">
      <c r="A67" s="144"/>
      <c r="B67" s="95"/>
      <c r="C67" s="96" t="s">
        <v>328</v>
      </c>
      <c r="D67" s="77"/>
      <c r="E67" s="96" t="s">
        <v>228</v>
      </c>
      <c r="F67" s="97">
        <v>0</v>
      </c>
      <c r="G67" s="97">
        <v>0</v>
      </c>
      <c r="H67" s="144"/>
      <c r="I67" s="144"/>
      <c r="J67" s="144"/>
      <c r="K67" s="144"/>
      <c r="L67" s="146"/>
      <c r="M67" s="144"/>
    </row>
    <row r="68" spans="1:13" ht="13.5" thickBot="1" x14ac:dyDescent="0.25">
      <c r="A68" s="144"/>
      <c r="B68" s="95"/>
      <c r="C68" s="96"/>
      <c r="D68" s="77"/>
      <c r="E68" s="96" t="s">
        <v>229</v>
      </c>
      <c r="F68" s="97">
        <v>1662116</v>
      </c>
      <c r="G68" s="97">
        <v>1612209</v>
      </c>
      <c r="H68" s="144"/>
      <c r="I68" s="144"/>
      <c r="J68" s="144"/>
      <c r="K68" s="144"/>
      <c r="L68" s="146"/>
      <c r="M68" s="144"/>
    </row>
    <row r="69" spans="1:13" ht="15.75" thickBot="1" x14ac:dyDescent="0.3">
      <c r="A69" s="144"/>
      <c r="B69" s="127" t="s">
        <v>324</v>
      </c>
      <c r="C69" s="1091" t="s">
        <v>329</v>
      </c>
      <c r="D69" s="1105"/>
      <c r="E69" s="128" t="s">
        <v>231</v>
      </c>
      <c r="F69" s="129">
        <f>F67+F68</f>
        <v>1662116</v>
      </c>
      <c r="G69" s="129">
        <f>G67+G68</f>
        <v>1612209</v>
      </c>
      <c r="H69" s="144"/>
      <c r="I69" s="144"/>
      <c r="J69" s="144"/>
      <c r="K69" s="144"/>
      <c r="L69" s="134"/>
      <c r="M69" s="144"/>
    </row>
    <row r="70" spans="1:13" x14ac:dyDescent="0.2">
      <c r="A70" s="144"/>
      <c r="B70" s="95"/>
      <c r="C70" s="96"/>
      <c r="D70" s="77"/>
      <c r="E70" s="96"/>
      <c r="F70" s="97"/>
      <c r="G70" s="97"/>
      <c r="H70" s="144"/>
      <c r="I70" s="144"/>
      <c r="J70" s="144"/>
      <c r="K70" s="144"/>
      <c r="L70" s="146"/>
      <c r="M70" s="144"/>
    </row>
    <row r="71" spans="1:13" x14ac:dyDescent="0.2">
      <c r="A71" s="144"/>
      <c r="B71" s="95"/>
      <c r="C71" s="94" t="s">
        <v>300</v>
      </c>
      <c r="D71" s="77"/>
      <c r="E71" s="96" t="s">
        <v>228</v>
      </c>
      <c r="F71" s="97">
        <v>0</v>
      </c>
      <c r="G71" s="97">
        <v>0</v>
      </c>
      <c r="H71" s="144"/>
      <c r="I71" s="144"/>
      <c r="J71" s="144"/>
      <c r="K71" s="144"/>
      <c r="L71" s="146"/>
      <c r="M71" s="144"/>
    </row>
    <row r="72" spans="1:13" ht="13.5" thickBot="1" x14ac:dyDescent="0.25">
      <c r="A72" s="144"/>
      <c r="B72" s="95"/>
      <c r="C72" s="96"/>
      <c r="D72" s="77"/>
      <c r="E72" s="96" t="s">
        <v>229</v>
      </c>
      <c r="F72" s="97">
        <f>F37+F53+F69</f>
        <v>3907809</v>
      </c>
      <c r="G72" s="97">
        <f>G37+G53+G69</f>
        <v>4022645</v>
      </c>
      <c r="H72" s="144"/>
      <c r="I72" s="144"/>
      <c r="J72" s="144"/>
      <c r="K72" s="144"/>
      <c r="L72" s="146"/>
      <c r="M72" s="144"/>
    </row>
    <row r="73" spans="1:13" ht="15.75" thickBot="1" x14ac:dyDescent="0.3">
      <c r="A73" s="144"/>
      <c r="B73" s="127"/>
      <c r="C73" s="1091" t="s">
        <v>330</v>
      </c>
      <c r="D73" s="1105"/>
      <c r="E73" s="128" t="s">
        <v>231</v>
      </c>
      <c r="F73" s="129">
        <f>F71+F72</f>
        <v>3907809</v>
      </c>
      <c r="G73" s="129">
        <f>G71+G72</f>
        <v>4022645</v>
      </c>
      <c r="H73" s="144"/>
      <c r="I73" s="144"/>
      <c r="J73" s="144"/>
      <c r="K73" s="144"/>
      <c r="L73" s="134"/>
      <c r="M73" s="144"/>
    </row>
    <row r="74" spans="1:13" x14ac:dyDescent="0.2">
      <c r="A74" s="144"/>
      <c r="B74" s="143"/>
      <c r="C74" s="77"/>
      <c r="D74" s="77"/>
      <c r="E74" s="77"/>
      <c r="F74" s="77"/>
      <c r="G74" s="77"/>
      <c r="H74" s="144"/>
      <c r="I74" s="144"/>
      <c r="J74" s="144"/>
      <c r="K74" s="144"/>
      <c r="L74" s="77"/>
      <c r="M74" s="144"/>
    </row>
    <row r="75" spans="1:13" x14ac:dyDescent="0.2">
      <c r="A75" s="144"/>
      <c r="B75" s="143"/>
      <c r="C75" s="77"/>
      <c r="D75" s="77"/>
      <c r="E75" s="77"/>
      <c r="F75" s="146"/>
      <c r="G75" s="77"/>
      <c r="H75" s="144"/>
      <c r="I75" s="144"/>
      <c r="J75" s="144"/>
      <c r="K75" s="144"/>
      <c r="L75" s="144"/>
      <c r="M75" s="144"/>
    </row>
    <row r="76" spans="1:13" x14ac:dyDescent="0.2">
      <c r="A76" s="144"/>
      <c r="B76" s="143"/>
      <c r="C76" s="77"/>
      <c r="D76" s="77"/>
      <c r="E76" s="77"/>
      <c r="F76" s="146"/>
      <c r="G76" s="77"/>
      <c r="H76" s="144"/>
      <c r="I76" s="144"/>
      <c r="J76" s="144"/>
      <c r="K76" s="144"/>
      <c r="L76" s="144"/>
      <c r="M76" s="144"/>
    </row>
    <row r="77" spans="1:13" x14ac:dyDescent="0.2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</row>
    <row r="78" spans="1:13" x14ac:dyDescent="0.2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</row>
    <row r="79" spans="1:13" x14ac:dyDescent="0.2">
      <c r="A79" s="144"/>
      <c r="B79" s="143"/>
      <c r="C79" s="77"/>
      <c r="D79" s="77"/>
      <c r="E79" s="77"/>
      <c r="F79" s="77"/>
      <c r="G79" s="77"/>
      <c r="H79" s="144"/>
      <c r="I79" s="144"/>
      <c r="J79" s="144"/>
      <c r="K79" s="144"/>
      <c r="L79" s="144"/>
      <c r="M79" s="144"/>
    </row>
    <row r="80" spans="1:13" x14ac:dyDescent="0.2">
      <c r="A80" s="144"/>
      <c r="B80" s="143"/>
      <c r="C80" s="77"/>
      <c r="D80" s="77"/>
      <c r="E80" s="77"/>
      <c r="F80" s="77"/>
      <c r="G80" s="77"/>
      <c r="H80" s="144"/>
      <c r="I80" s="144"/>
      <c r="J80" s="144"/>
      <c r="K80" s="144"/>
      <c r="L80" s="144"/>
      <c r="M80" s="144"/>
    </row>
    <row r="81" spans="1:13" x14ac:dyDescent="0.2">
      <c r="A81" s="144"/>
      <c r="B81" s="143"/>
      <c r="C81" s="77"/>
      <c r="D81" s="77"/>
      <c r="E81" s="77"/>
      <c r="F81" s="77"/>
      <c r="G81" s="146"/>
      <c r="H81" s="144"/>
      <c r="I81" s="144"/>
      <c r="J81" s="144"/>
      <c r="K81" s="144"/>
      <c r="L81" s="144"/>
      <c r="M81" s="144"/>
    </row>
    <row r="82" spans="1:13" x14ac:dyDescent="0.2">
      <c r="A82" s="144"/>
      <c r="B82" s="143"/>
      <c r="C82" s="77"/>
      <c r="D82" s="77"/>
      <c r="E82" s="77"/>
      <c r="F82" s="77"/>
      <c r="G82" s="146"/>
      <c r="H82" s="144"/>
      <c r="I82" s="144"/>
      <c r="J82" s="144"/>
      <c r="K82" s="144"/>
      <c r="L82" s="144"/>
      <c r="M82" s="144"/>
    </row>
    <row r="83" spans="1:13" x14ac:dyDescent="0.2">
      <c r="A83" s="144"/>
      <c r="B83" s="143"/>
      <c r="C83" s="77"/>
      <c r="D83" s="77"/>
      <c r="E83" s="77"/>
      <c r="F83" s="77"/>
      <c r="G83" s="146"/>
      <c r="H83" s="144"/>
      <c r="I83" s="144"/>
      <c r="J83" s="144"/>
      <c r="K83" s="144"/>
      <c r="L83" s="144"/>
      <c r="M83" s="144"/>
    </row>
    <row r="84" spans="1:13" x14ac:dyDescent="0.2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</row>
    <row r="85" spans="1:13" x14ac:dyDescent="0.2">
      <c r="A85" s="144"/>
      <c r="B85" s="143"/>
      <c r="C85" s="77"/>
      <c r="D85" s="77"/>
      <c r="E85" s="77"/>
      <c r="F85" s="77"/>
      <c r="G85" s="77"/>
      <c r="H85" s="144"/>
      <c r="I85" s="144"/>
      <c r="J85" s="144"/>
      <c r="K85" s="144"/>
      <c r="L85" s="144"/>
      <c r="M85" s="144"/>
    </row>
  </sheetData>
  <mergeCells count="8">
    <mergeCell ref="D3:H3"/>
    <mergeCell ref="C7:D7"/>
    <mergeCell ref="C73:D73"/>
    <mergeCell ref="C57:D57"/>
    <mergeCell ref="C37:D37"/>
    <mergeCell ref="C53:D53"/>
    <mergeCell ref="C69:D69"/>
    <mergeCell ref="A5:G5"/>
  </mergeCells>
  <phoneticPr fontId="30" type="noConversion"/>
  <pageMargins left="0.74803149606299213" right="0.74803149606299213" top="0.98425196850393704" bottom="0.98425196850393704" header="0.51181102362204722" footer="0.51181102362204722"/>
  <pageSetup paperSize="8" orientation="portrait" r:id="rId1"/>
  <headerFooter alignWithMargins="0">
    <oddHeader>&amp;R12.MELLÉKLET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B2:I105"/>
  <sheetViews>
    <sheetView topLeftCell="A85" zoomScaleNormal="100" workbookViewId="0">
      <selection activeCell="D113" sqref="D113"/>
    </sheetView>
  </sheetViews>
  <sheetFormatPr defaultColWidth="8" defaultRowHeight="15" x14ac:dyDescent="0.2"/>
  <cols>
    <col min="1" max="1" width="9.28515625" style="147" customWidth="1"/>
    <col min="2" max="2" width="9.85546875" style="148" customWidth="1"/>
    <col min="3" max="3" width="7.5703125" style="147" customWidth="1"/>
    <col min="4" max="4" width="101.140625" style="147" customWidth="1"/>
    <col min="5" max="5" width="22.28515625" style="147" customWidth="1"/>
    <col min="6" max="6" width="20.140625" style="147" customWidth="1"/>
    <col min="7" max="7" width="20.7109375" style="147" customWidth="1"/>
    <col min="8" max="8" width="14.28515625" style="150" bestFit="1" customWidth="1"/>
    <col min="9" max="9" width="13.7109375" style="147" bestFit="1" customWidth="1"/>
    <col min="10" max="16384" width="8" style="147"/>
  </cols>
  <sheetData>
    <row r="2" spans="2:9" ht="18" x14ac:dyDescent="0.25">
      <c r="E2" s="149"/>
      <c r="F2" s="150"/>
    </row>
    <row r="5" spans="2:9" ht="21.75" customHeight="1" x14ac:dyDescent="0.3">
      <c r="B5" s="1107" t="s">
        <v>889</v>
      </c>
      <c r="C5" s="1107"/>
      <c r="D5" s="1107"/>
      <c r="E5" s="1107"/>
      <c r="F5" s="1107"/>
      <c r="G5" s="1107"/>
    </row>
    <row r="6" spans="2:9" ht="15.75" thickBot="1" x14ac:dyDescent="0.25">
      <c r="G6" s="151" t="s">
        <v>225</v>
      </c>
    </row>
    <row r="7" spans="2:9" ht="16.5" thickBot="1" x14ac:dyDescent="0.3">
      <c r="B7" s="152" t="s">
        <v>224</v>
      </c>
      <c r="C7" s="153"/>
      <c r="D7" s="153"/>
      <c r="E7" s="1108"/>
      <c r="F7" s="1109"/>
      <c r="G7" s="1110"/>
    </row>
    <row r="8" spans="2:9" ht="16.5" thickBot="1" x14ac:dyDescent="0.3">
      <c r="B8" s="155"/>
      <c r="E8" s="605" t="s">
        <v>331</v>
      </c>
      <c r="F8" s="156" t="s">
        <v>332</v>
      </c>
      <c r="G8" s="603" t="s">
        <v>333</v>
      </c>
    </row>
    <row r="9" spans="2:9" s="157" customFormat="1" ht="18.75" customHeight="1" thickBot="1" x14ac:dyDescent="0.3">
      <c r="B9" s="158" t="s">
        <v>334</v>
      </c>
      <c r="C9" s="159" t="s">
        <v>335</v>
      </c>
      <c r="D9" s="159"/>
      <c r="E9" s="606">
        <f>E10+E16+E46+E50</f>
        <v>3414055</v>
      </c>
      <c r="F9" s="627">
        <f>F10+F16+F46+F50</f>
        <v>1309388</v>
      </c>
      <c r="G9" s="617">
        <f>E9-F9</f>
        <v>2104667</v>
      </c>
      <c r="H9" s="160"/>
    </row>
    <row r="10" spans="2:9" s="161" customFormat="1" ht="16.5" thickBot="1" x14ac:dyDescent="0.3">
      <c r="B10" s="154" t="s">
        <v>235</v>
      </c>
      <c r="C10" s="162" t="s">
        <v>336</v>
      </c>
      <c r="D10" s="162"/>
      <c r="E10" s="607"/>
      <c r="F10" s="607"/>
      <c r="G10" s="535">
        <f>SUM(G12:G14)</f>
        <v>0</v>
      </c>
      <c r="H10" s="163"/>
      <c r="I10" s="157"/>
    </row>
    <row r="11" spans="2:9" s="161" customFormat="1" ht="15.75" x14ac:dyDescent="0.25">
      <c r="B11" s="164" t="s">
        <v>739</v>
      </c>
      <c r="C11" s="161" t="s">
        <v>227</v>
      </c>
      <c r="E11" s="608">
        <f>SUM(E12:E13)</f>
        <v>0</v>
      </c>
      <c r="F11" s="608">
        <f>SUM(F12:F13)</f>
        <v>0</v>
      </c>
      <c r="G11" s="618">
        <f>SUM(G12:G13)</f>
        <v>0</v>
      </c>
      <c r="H11" s="163"/>
    </row>
    <row r="12" spans="2:9" ht="15.75" x14ac:dyDescent="0.25">
      <c r="B12" s="155"/>
      <c r="C12" s="147" t="s">
        <v>337</v>
      </c>
      <c r="E12" s="609"/>
      <c r="F12" s="609"/>
      <c r="G12" s="619">
        <f>E12-F12</f>
        <v>0</v>
      </c>
      <c r="H12" s="163"/>
      <c r="I12" s="161"/>
    </row>
    <row r="13" spans="2:9" ht="15.75" x14ac:dyDescent="0.25">
      <c r="B13" s="155"/>
      <c r="C13" s="147" t="s">
        <v>338</v>
      </c>
      <c r="E13" s="609"/>
      <c r="F13" s="609"/>
      <c r="G13" s="619">
        <f>E13-F13</f>
        <v>0</v>
      </c>
      <c r="H13" s="163"/>
      <c r="I13" s="161"/>
    </row>
    <row r="14" spans="2:9" s="161" customFormat="1" ht="15.75" x14ac:dyDescent="0.25">
      <c r="B14" s="164" t="s">
        <v>233</v>
      </c>
      <c r="C14" s="161" t="s">
        <v>232</v>
      </c>
      <c r="E14" s="608">
        <f>SUM(E15)</f>
        <v>0</v>
      </c>
      <c r="F14" s="608">
        <f>SUM(F15)</f>
        <v>0</v>
      </c>
      <c r="G14" s="618">
        <f>SUM(G15)</f>
        <v>0</v>
      </c>
      <c r="H14" s="163"/>
    </row>
    <row r="15" spans="2:9" ht="16.5" thickBot="1" x14ac:dyDescent="0.3">
      <c r="B15" s="155"/>
      <c r="C15" s="147" t="s">
        <v>337</v>
      </c>
      <c r="E15" s="609"/>
      <c r="F15" s="609"/>
      <c r="G15" s="619">
        <f>E15-F15</f>
        <v>0</v>
      </c>
      <c r="H15" s="163"/>
      <c r="I15" s="161"/>
    </row>
    <row r="16" spans="2:9" s="161" customFormat="1" ht="16.5" thickBot="1" x14ac:dyDescent="0.3">
      <c r="B16" s="154" t="s">
        <v>248</v>
      </c>
      <c r="C16" s="162" t="s">
        <v>339</v>
      </c>
      <c r="D16" s="162"/>
      <c r="E16" s="607">
        <f>+E17+E37</f>
        <v>3413940</v>
      </c>
      <c r="F16" s="607">
        <f>+F17+F37</f>
        <v>1309388</v>
      </c>
      <c r="G16" s="535">
        <f>E16-F16</f>
        <v>2104552</v>
      </c>
      <c r="H16" s="163"/>
    </row>
    <row r="17" spans="2:9" s="165" customFormat="1" ht="15.75" x14ac:dyDescent="0.25">
      <c r="B17" s="166" t="s">
        <v>238</v>
      </c>
      <c r="C17" s="165" t="s">
        <v>237</v>
      </c>
      <c r="E17" s="610">
        <v>2515866</v>
      </c>
      <c r="F17" s="610">
        <f>F18</f>
        <v>411643</v>
      </c>
      <c r="G17" s="620">
        <f>E17-F17</f>
        <v>2104223</v>
      </c>
      <c r="H17" s="167"/>
      <c r="I17" s="161"/>
    </row>
    <row r="18" spans="2:9" ht="15.75" x14ac:dyDescent="0.25">
      <c r="B18" s="155"/>
      <c r="C18" s="168" t="s">
        <v>340</v>
      </c>
      <c r="E18" s="611">
        <f>SUM(E19:E24)</f>
        <v>2515866</v>
      </c>
      <c r="F18" s="611">
        <f>SUM(F19:F24)</f>
        <v>411643</v>
      </c>
      <c r="G18" s="621">
        <f>SUM(G19:G24)</f>
        <v>2104223</v>
      </c>
      <c r="H18" s="163"/>
      <c r="I18" s="161"/>
    </row>
    <row r="19" spans="2:9" ht="15.75" x14ac:dyDescent="0.25">
      <c r="B19" s="155"/>
      <c r="C19" s="148" t="s">
        <v>341</v>
      </c>
      <c r="D19" s="147" t="s">
        <v>342</v>
      </c>
      <c r="E19" s="609"/>
      <c r="F19" s="609"/>
      <c r="G19" s="619">
        <f t="shared" ref="G19:G24" si="0">E19-F19</f>
        <v>0</v>
      </c>
      <c r="H19" s="163"/>
      <c r="I19" s="161"/>
    </row>
    <row r="20" spans="2:9" ht="15.75" x14ac:dyDescent="0.25">
      <c r="B20" s="155"/>
      <c r="C20" s="148" t="s">
        <v>341</v>
      </c>
      <c r="D20" s="147" t="s">
        <v>343</v>
      </c>
      <c r="E20" s="609"/>
      <c r="F20" s="609"/>
      <c r="G20" s="619">
        <f t="shared" si="0"/>
        <v>0</v>
      </c>
      <c r="H20" s="163"/>
      <c r="I20" s="161"/>
    </row>
    <row r="21" spans="2:9" ht="15.75" x14ac:dyDescent="0.25">
      <c r="B21" s="155"/>
      <c r="C21" s="148" t="s">
        <v>341</v>
      </c>
      <c r="D21" s="147" t="s">
        <v>344</v>
      </c>
      <c r="E21" s="609"/>
      <c r="F21" s="609"/>
      <c r="G21" s="619">
        <f t="shared" si="0"/>
        <v>0</v>
      </c>
      <c r="H21" s="163"/>
      <c r="I21" s="161"/>
    </row>
    <row r="22" spans="2:9" ht="15.75" x14ac:dyDescent="0.25">
      <c r="B22" s="155"/>
      <c r="C22" s="148" t="s">
        <v>341</v>
      </c>
      <c r="D22" s="147" t="s">
        <v>345</v>
      </c>
      <c r="E22" s="609"/>
      <c r="F22" s="609"/>
      <c r="G22" s="619">
        <f t="shared" si="0"/>
        <v>0</v>
      </c>
      <c r="H22" s="163"/>
      <c r="I22" s="161"/>
    </row>
    <row r="23" spans="2:9" ht="15.75" x14ac:dyDescent="0.25">
      <c r="B23" s="155"/>
      <c r="C23" s="148" t="s">
        <v>341</v>
      </c>
      <c r="D23" s="147" t="s">
        <v>346</v>
      </c>
      <c r="E23" s="609">
        <v>2515866</v>
      </c>
      <c r="F23" s="609">
        <v>411643</v>
      </c>
      <c r="G23" s="619">
        <f t="shared" si="0"/>
        <v>2104223</v>
      </c>
      <c r="H23" s="163"/>
      <c r="I23" s="161"/>
    </row>
    <row r="24" spans="2:9" ht="15.75" x14ac:dyDescent="0.25">
      <c r="B24" s="155"/>
      <c r="C24" s="148" t="s">
        <v>341</v>
      </c>
      <c r="D24" s="147" t="s">
        <v>542</v>
      </c>
      <c r="E24" s="609"/>
      <c r="F24" s="609"/>
      <c r="G24" s="619">
        <f t="shared" si="0"/>
        <v>0</v>
      </c>
      <c r="H24" s="163"/>
      <c r="I24" s="161"/>
    </row>
    <row r="25" spans="2:9" ht="15.75" x14ac:dyDescent="0.25">
      <c r="B25" s="155"/>
      <c r="C25" s="169" t="s">
        <v>347</v>
      </c>
      <c r="D25" s="147" t="s">
        <v>348</v>
      </c>
      <c r="E25" s="609"/>
      <c r="F25" s="609"/>
      <c r="G25" s="619"/>
      <c r="H25" s="163"/>
      <c r="I25" s="161"/>
    </row>
    <row r="26" spans="2:9" ht="15.75" x14ac:dyDescent="0.25">
      <c r="B26" s="155"/>
      <c r="C26" s="168" t="s">
        <v>349</v>
      </c>
      <c r="E26" s="611">
        <f>SUM(E27:E31)</f>
        <v>0</v>
      </c>
      <c r="F26" s="611">
        <f>SUM(F27:F31)</f>
        <v>0</v>
      </c>
      <c r="G26" s="621">
        <f>SUM(G27:G31)</f>
        <v>0</v>
      </c>
      <c r="H26" s="163"/>
      <c r="I26" s="161"/>
    </row>
    <row r="27" spans="2:9" ht="15.75" x14ac:dyDescent="0.25">
      <c r="B27" s="155"/>
      <c r="C27" s="148" t="s">
        <v>341</v>
      </c>
      <c r="D27" s="147" t="s">
        <v>350</v>
      </c>
      <c r="E27" s="609"/>
      <c r="F27" s="609"/>
      <c r="G27" s="619">
        <f t="shared" ref="G27:G31" si="1">E27-F27</f>
        <v>0</v>
      </c>
      <c r="H27" s="163"/>
      <c r="I27" s="161"/>
    </row>
    <row r="28" spans="2:9" ht="15.75" x14ac:dyDescent="0.25">
      <c r="B28" s="155"/>
      <c r="C28" s="148" t="s">
        <v>341</v>
      </c>
      <c r="D28" s="147" t="s">
        <v>351</v>
      </c>
      <c r="E28" s="609"/>
      <c r="F28" s="609"/>
      <c r="G28" s="619">
        <f t="shared" si="1"/>
        <v>0</v>
      </c>
      <c r="H28" s="163"/>
      <c r="I28" s="161"/>
    </row>
    <row r="29" spans="2:9" ht="15.75" x14ac:dyDescent="0.25">
      <c r="B29" s="155"/>
      <c r="C29" s="148" t="s">
        <v>341</v>
      </c>
      <c r="D29" s="147" t="s">
        <v>543</v>
      </c>
      <c r="E29" s="609"/>
      <c r="F29" s="609"/>
      <c r="G29" s="619">
        <f t="shared" si="1"/>
        <v>0</v>
      </c>
      <c r="H29" s="163"/>
      <c r="I29" s="161"/>
    </row>
    <row r="30" spans="2:9" ht="15.75" x14ac:dyDescent="0.25">
      <c r="B30" s="155"/>
      <c r="C30" s="148" t="s">
        <v>341</v>
      </c>
      <c r="D30" s="147" t="s">
        <v>352</v>
      </c>
      <c r="E30" s="609"/>
      <c r="F30" s="609"/>
      <c r="G30" s="619">
        <f t="shared" si="1"/>
        <v>0</v>
      </c>
      <c r="H30" s="163"/>
      <c r="I30" s="161"/>
    </row>
    <row r="31" spans="2:9" ht="15.75" x14ac:dyDescent="0.25">
      <c r="B31" s="155"/>
      <c r="C31" s="148" t="s">
        <v>341</v>
      </c>
      <c r="D31" s="147" t="s">
        <v>346</v>
      </c>
      <c r="E31" s="609"/>
      <c r="F31" s="609"/>
      <c r="G31" s="619">
        <f t="shared" si="1"/>
        <v>0</v>
      </c>
      <c r="H31" s="163"/>
      <c r="I31" s="161"/>
    </row>
    <row r="32" spans="2:9" ht="15.75" x14ac:dyDescent="0.25">
      <c r="B32" s="155"/>
      <c r="C32" s="168" t="s">
        <v>338</v>
      </c>
      <c r="E32" s="611"/>
      <c r="F32" s="611"/>
      <c r="G32" s="621">
        <f>SUM(G33:G36)</f>
        <v>0</v>
      </c>
      <c r="H32" s="163"/>
      <c r="I32" s="161"/>
    </row>
    <row r="33" spans="2:9" ht="15.75" x14ac:dyDescent="0.25">
      <c r="B33" s="155"/>
      <c r="C33" s="148" t="s">
        <v>341</v>
      </c>
      <c r="D33" s="147" t="s">
        <v>353</v>
      </c>
      <c r="E33" s="609"/>
      <c r="F33" s="609"/>
      <c r="G33" s="619">
        <f>E33-F33</f>
        <v>0</v>
      </c>
      <c r="H33" s="163"/>
      <c r="I33" s="161"/>
    </row>
    <row r="34" spans="2:9" ht="15.75" x14ac:dyDescent="0.25">
      <c r="B34" s="155"/>
      <c r="C34" s="148" t="s">
        <v>341</v>
      </c>
      <c r="D34" s="147" t="s">
        <v>346</v>
      </c>
      <c r="E34" s="609"/>
      <c r="F34" s="609"/>
      <c r="G34" s="619">
        <f>E34-F34</f>
        <v>0</v>
      </c>
      <c r="H34" s="163"/>
      <c r="I34" s="161"/>
    </row>
    <row r="35" spans="2:9" ht="15.75" x14ac:dyDescent="0.25">
      <c r="B35" s="155"/>
      <c r="C35" s="148" t="s">
        <v>341</v>
      </c>
      <c r="D35" s="147" t="s">
        <v>354</v>
      </c>
      <c r="E35" s="609"/>
      <c r="F35" s="609"/>
      <c r="G35" s="619">
        <f>E35-F35</f>
        <v>0</v>
      </c>
      <c r="H35" s="163"/>
      <c r="I35" s="161"/>
    </row>
    <row r="36" spans="2:9" ht="15.75" x14ac:dyDescent="0.25">
      <c r="B36" s="155"/>
      <c r="D36" s="147" t="s">
        <v>348</v>
      </c>
      <c r="E36" s="609"/>
      <c r="F36" s="609"/>
      <c r="G36" s="619"/>
      <c r="H36" s="163"/>
      <c r="I36" s="161"/>
    </row>
    <row r="37" spans="2:9" s="165" customFormat="1" ht="15.75" x14ac:dyDescent="0.25">
      <c r="B37" s="166" t="s">
        <v>355</v>
      </c>
      <c r="C37" s="165" t="s">
        <v>356</v>
      </c>
      <c r="E37" s="612">
        <f>E38</f>
        <v>898074</v>
      </c>
      <c r="F37" s="612">
        <f>F38</f>
        <v>897745</v>
      </c>
      <c r="G37" s="622">
        <f>SUM(G38:G40)</f>
        <v>329</v>
      </c>
      <c r="H37" s="167"/>
      <c r="I37" s="161"/>
    </row>
    <row r="38" spans="2:9" ht="15.75" x14ac:dyDescent="0.25">
      <c r="B38" s="155"/>
      <c r="C38" s="147" t="s">
        <v>357</v>
      </c>
      <c r="E38" s="613">
        <v>898074</v>
      </c>
      <c r="F38" s="613">
        <v>897745</v>
      </c>
      <c r="G38" s="623">
        <f>E38-F38</f>
        <v>329</v>
      </c>
      <c r="H38" s="767"/>
    </row>
    <row r="39" spans="2:9" ht="15.75" x14ac:dyDescent="0.25">
      <c r="B39" s="155"/>
      <c r="C39" s="147" t="s">
        <v>358</v>
      </c>
      <c r="E39" s="613"/>
      <c r="F39" s="613"/>
      <c r="G39" s="623">
        <f>E39-F39</f>
        <v>0</v>
      </c>
      <c r="H39" s="163"/>
    </row>
    <row r="40" spans="2:9" ht="15.75" x14ac:dyDescent="0.25">
      <c r="B40" s="155"/>
      <c r="C40" s="147" t="s">
        <v>359</v>
      </c>
      <c r="E40" s="613"/>
      <c r="F40" s="613"/>
      <c r="G40" s="623">
        <f>E40-F40</f>
        <v>0</v>
      </c>
      <c r="H40" s="163"/>
    </row>
    <row r="41" spans="2:9" s="165" customFormat="1" ht="15.75" x14ac:dyDescent="0.25">
      <c r="B41" s="166" t="s">
        <v>243</v>
      </c>
      <c r="C41" s="165" t="s">
        <v>360</v>
      </c>
      <c r="E41" s="612">
        <v>0</v>
      </c>
      <c r="F41" s="612">
        <v>0</v>
      </c>
      <c r="G41" s="622">
        <f>E41-F41</f>
        <v>0</v>
      </c>
      <c r="H41" s="167"/>
    </row>
    <row r="42" spans="2:9" s="165" customFormat="1" ht="15.75" x14ac:dyDescent="0.25">
      <c r="B42" s="166" t="s">
        <v>361</v>
      </c>
      <c r="C42" s="165" t="s">
        <v>244</v>
      </c>
      <c r="E42" s="612"/>
      <c r="F42" s="612">
        <f>SUM(F43:F44)</f>
        <v>0</v>
      </c>
      <c r="G42" s="622">
        <f>SUM(G43:G44)</f>
        <v>0</v>
      </c>
      <c r="H42" s="167"/>
    </row>
    <row r="43" spans="2:9" ht="15.75" x14ac:dyDescent="0.25">
      <c r="B43" s="155"/>
      <c r="C43" s="170" t="s">
        <v>362</v>
      </c>
      <c r="D43" s="170"/>
      <c r="E43" s="613"/>
      <c r="F43" s="613">
        <v>0</v>
      </c>
      <c r="G43" s="623">
        <f>E43-F43</f>
        <v>0</v>
      </c>
      <c r="H43" s="163"/>
    </row>
    <row r="44" spans="2:9" ht="15.75" x14ac:dyDescent="0.25">
      <c r="B44" s="155"/>
      <c r="C44" s="170" t="s">
        <v>363</v>
      </c>
      <c r="D44" s="170"/>
      <c r="E44" s="613"/>
      <c r="F44" s="613">
        <v>0</v>
      </c>
      <c r="G44" s="623">
        <f>E44-F44</f>
        <v>0</v>
      </c>
      <c r="H44" s="163"/>
    </row>
    <row r="45" spans="2:9" s="165" customFormat="1" ht="16.5" thickBot="1" x14ac:dyDescent="0.3">
      <c r="B45" s="166" t="s">
        <v>364</v>
      </c>
      <c r="C45" s="165" t="s">
        <v>365</v>
      </c>
      <c r="D45" s="171"/>
      <c r="E45" s="612">
        <v>0</v>
      </c>
      <c r="F45" s="612">
        <v>0</v>
      </c>
      <c r="G45" s="622">
        <f>E45-F45</f>
        <v>0</v>
      </c>
      <c r="H45" s="167"/>
    </row>
    <row r="46" spans="2:9" s="161" customFormat="1" ht="16.5" thickBot="1" x14ac:dyDescent="0.3">
      <c r="B46" s="154" t="s">
        <v>255</v>
      </c>
      <c r="C46" s="162" t="s">
        <v>366</v>
      </c>
      <c r="D46" s="172"/>
      <c r="E46" s="614">
        <f>E47</f>
        <v>115</v>
      </c>
      <c r="F46" s="614"/>
      <c r="G46" s="624">
        <f>SUM(G47:G49)</f>
        <v>115</v>
      </c>
      <c r="H46" s="163"/>
    </row>
    <row r="47" spans="2:9" s="165" customFormat="1" ht="15.75" x14ac:dyDescent="0.25">
      <c r="B47" s="166" t="s">
        <v>367</v>
      </c>
      <c r="C47" s="165" t="s">
        <v>368</v>
      </c>
      <c r="D47" s="171"/>
      <c r="E47" s="868">
        <v>115</v>
      </c>
      <c r="F47" s="612"/>
      <c r="G47" s="869">
        <v>115</v>
      </c>
      <c r="H47" s="167"/>
    </row>
    <row r="48" spans="2:9" s="165" customFormat="1" ht="15.75" x14ac:dyDescent="0.25">
      <c r="B48" s="166" t="s">
        <v>253</v>
      </c>
      <c r="C48" s="165" t="s">
        <v>369</v>
      </c>
      <c r="D48" s="171"/>
      <c r="E48" s="612"/>
      <c r="F48" s="612"/>
      <c r="G48" s="622"/>
      <c r="H48" s="167"/>
    </row>
    <row r="49" spans="2:8" s="165" customFormat="1" ht="16.5" thickBot="1" x14ac:dyDescent="0.3">
      <c r="B49" s="166" t="s">
        <v>370</v>
      </c>
      <c r="C49" s="165" t="s">
        <v>371</v>
      </c>
      <c r="D49" s="171"/>
      <c r="E49" s="612"/>
      <c r="F49" s="612"/>
      <c r="G49" s="622"/>
      <c r="H49" s="167"/>
    </row>
    <row r="50" spans="2:8" s="161" customFormat="1" ht="16.5" thickBot="1" x14ac:dyDescent="0.3">
      <c r="B50" s="154" t="s">
        <v>372</v>
      </c>
      <c r="C50" s="1111" t="s">
        <v>373</v>
      </c>
      <c r="D50" s="1083"/>
      <c r="E50" s="614">
        <v>0</v>
      </c>
      <c r="F50" s="614">
        <v>0</v>
      </c>
      <c r="G50" s="624">
        <f>+E50-F50</f>
        <v>0</v>
      </c>
      <c r="H50" s="163"/>
    </row>
    <row r="51" spans="2:8" ht="15.75" customHeight="1" thickBot="1" x14ac:dyDescent="0.3">
      <c r="B51" s="155"/>
      <c r="C51" s="173"/>
      <c r="D51" s="170"/>
      <c r="E51" s="613"/>
      <c r="F51" s="613"/>
      <c r="G51" s="623"/>
      <c r="H51" s="163"/>
    </row>
    <row r="52" spans="2:8" s="157" customFormat="1" ht="16.5" customHeight="1" thickBot="1" x14ac:dyDescent="0.3">
      <c r="B52" s="174" t="s">
        <v>374</v>
      </c>
      <c r="C52" s="175" t="s">
        <v>375</v>
      </c>
      <c r="D52" s="176"/>
      <c r="E52" s="604">
        <f>SUM(E53:E54)</f>
        <v>0</v>
      </c>
      <c r="F52" s="615"/>
      <c r="G52" s="625">
        <f>SUM(G53:G54)</f>
        <v>0</v>
      </c>
      <c r="H52" s="163"/>
    </row>
    <row r="53" spans="2:8" s="165" customFormat="1" ht="15.75" x14ac:dyDescent="0.25">
      <c r="B53" s="166" t="s">
        <v>262</v>
      </c>
      <c r="C53" s="165" t="s">
        <v>376</v>
      </c>
      <c r="D53" s="171"/>
      <c r="E53" s="612"/>
      <c r="F53" s="612"/>
      <c r="G53" s="622"/>
      <c r="H53" s="167"/>
    </row>
    <row r="54" spans="2:8" s="165" customFormat="1" ht="15.75" x14ac:dyDescent="0.25">
      <c r="B54" s="166" t="s">
        <v>264</v>
      </c>
      <c r="C54" s="165" t="s">
        <v>544</v>
      </c>
      <c r="D54" s="171"/>
      <c r="E54" s="612"/>
      <c r="F54" s="612"/>
      <c r="G54" s="622">
        <f>E54-F54</f>
        <v>0</v>
      </c>
      <c r="H54" s="167"/>
    </row>
    <row r="55" spans="2:8" ht="15.75" thickBot="1" x14ac:dyDescent="0.25">
      <c r="B55" s="155"/>
      <c r="D55" s="170"/>
      <c r="E55" s="613"/>
      <c r="F55" s="613"/>
      <c r="G55" s="623"/>
    </row>
    <row r="56" spans="2:8" s="157" customFormat="1" ht="16.5" customHeight="1" thickBot="1" x14ac:dyDescent="0.3">
      <c r="B56" s="174" t="s">
        <v>280</v>
      </c>
      <c r="C56" s="175" t="s">
        <v>377</v>
      </c>
      <c r="D56" s="176"/>
      <c r="E56" s="615">
        <f>E57+E58+E59+E60+E61+E62</f>
        <v>1622781</v>
      </c>
      <c r="F56" s="615"/>
      <c r="G56" s="625">
        <f>SUM(G57:G61)</f>
        <v>1622781</v>
      </c>
      <c r="H56" s="163"/>
    </row>
    <row r="57" spans="2:8" s="165" customFormat="1" ht="16.5" customHeight="1" x14ac:dyDescent="0.25">
      <c r="B57" s="166" t="s">
        <v>270</v>
      </c>
      <c r="C57" s="165" t="s">
        <v>269</v>
      </c>
      <c r="D57" s="171"/>
      <c r="E57" s="868">
        <v>0</v>
      </c>
      <c r="F57" s="868"/>
      <c r="G57" s="871">
        <v>0</v>
      </c>
      <c r="H57" s="167"/>
    </row>
    <row r="58" spans="2:8" s="165" customFormat="1" ht="16.5" customHeight="1" x14ac:dyDescent="0.25">
      <c r="B58" s="166" t="s">
        <v>272</v>
      </c>
      <c r="C58" s="165" t="s">
        <v>271</v>
      </c>
      <c r="D58" s="171"/>
      <c r="E58" s="868">
        <v>44</v>
      </c>
      <c r="F58" s="868"/>
      <c r="G58" s="871">
        <v>44</v>
      </c>
      <c r="H58" s="167"/>
    </row>
    <row r="59" spans="2:8" s="165" customFormat="1" ht="16.5" customHeight="1" x14ac:dyDescent="0.25">
      <c r="B59" s="166" t="s">
        <v>274</v>
      </c>
      <c r="C59" s="165" t="s">
        <v>273</v>
      </c>
      <c r="D59" s="171"/>
      <c r="E59" s="868">
        <v>1622737</v>
      </c>
      <c r="F59" s="868"/>
      <c r="G59" s="871">
        <f>E59-F59</f>
        <v>1622737</v>
      </c>
      <c r="H59" s="167"/>
    </row>
    <row r="60" spans="2:8" s="165" customFormat="1" ht="16.5" customHeight="1" x14ac:dyDescent="0.25">
      <c r="B60" s="166" t="s">
        <v>378</v>
      </c>
      <c r="C60" s="165" t="s">
        <v>275</v>
      </c>
      <c r="D60" s="171"/>
      <c r="E60" s="868"/>
      <c r="F60" s="868"/>
      <c r="G60" s="871"/>
      <c r="H60" s="167"/>
    </row>
    <row r="61" spans="2:8" s="165" customFormat="1" ht="16.5" customHeight="1" x14ac:dyDescent="0.25">
      <c r="B61" s="166" t="s">
        <v>278</v>
      </c>
      <c r="C61" s="165" t="s">
        <v>379</v>
      </c>
      <c r="D61" s="171"/>
      <c r="E61" s="612"/>
      <c r="F61" s="612"/>
      <c r="G61" s="626"/>
      <c r="H61" s="167"/>
    </row>
    <row r="62" spans="2:8" ht="15.75" thickBot="1" x14ac:dyDescent="0.25">
      <c r="B62" s="155"/>
      <c r="D62" s="170"/>
      <c r="E62" s="613"/>
      <c r="F62" s="613"/>
      <c r="G62" s="623"/>
    </row>
    <row r="63" spans="2:8" s="157" customFormat="1" ht="16.5" customHeight="1" thickBot="1" x14ac:dyDescent="0.3">
      <c r="B63" s="174" t="s">
        <v>288</v>
      </c>
      <c r="C63" s="175" t="s">
        <v>380</v>
      </c>
      <c r="D63" s="176"/>
      <c r="E63" s="615">
        <f>E64</f>
        <v>306681</v>
      </c>
      <c r="F63" s="615"/>
      <c r="G63" s="625">
        <f>SUM(G64:G66)</f>
        <v>306681</v>
      </c>
      <c r="H63" s="163"/>
    </row>
    <row r="64" spans="2:8" s="165" customFormat="1" ht="15.75" x14ac:dyDescent="0.25">
      <c r="B64" s="166" t="s">
        <v>381</v>
      </c>
      <c r="C64" s="165" t="s">
        <v>281</v>
      </c>
      <c r="D64" s="177"/>
      <c r="E64" s="870">
        <v>306681</v>
      </c>
      <c r="F64" s="616"/>
      <c r="G64" s="869">
        <v>306681</v>
      </c>
      <c r="H64" s="167"/>
    </row>
    <row r="65" spans="2:8" s="165" customFormat="1" ht="15.75" x14ac:dyDescent="0.25">
      <c r="B65" s="166" t="s">
        <v>382</v>
      </c>
      <c r="C65" s="165" t="s">
        <v>283</v>
      </c>
      <c r="D65" s="177"/>
      <c r="E65" s="616"/>
      <c r="F65" s="616"/>
      <c r="G65" s="622"/>
      <c r="H65" s="167"/>
    </row>
    <row r="66" spans="2:8" s="165" customFormat="1" ht="15.75" x14ac:dyDescent="0.25">
      <c r="B66" s="166" t="s">
        <v>286</v>
      </c>
      <c r="C66" s="165" t="s">
        <v>285</v>
      </c>
      <c r="D66" s="177"/>
      <c r="E66" s="616">
        <v>0</v>
      </c>
      <c r="F66" s="616"/>
      <c r="G66" s="622">
        <v>0</v>
      </c>
      <c r="H66" s="167"/>
    </row>
    <row r="67" spans="2:8" s="165" customFormat="1" ht="16.5" thickBot="1" x14ac:dyDescent="0.3">
      <c r="B67" s="166"/>
      <c r="D67" s="177"/>
      <c r="E67" s="616"/>
      <c r="F67" s="616"/>
      <c r="G67" s="622"/>
      <c r="H67" s="167"/>
    </row>
    <row r="68" spans="2:8" s="157" customFormat="1" ht="16.5" customHeight="1" thickBot="1" x14ac:dyDescent="0.3">
      <c r="B68" s="174" t="s">
        <v>290</v>
      </c>
      <c r="C68" s="175" t="s">
        <v>383</v>
      </c>
      <c r="D68" s="176"/>
      <c r="E68" s="615">
        <v>-11484</v>
      </c>
      <c r="F68" s="615"/>
      <c r="G68" s="625">
        <v>-11484</v>
      </c>
      <c r="H68" s="163"/>
    </row>
    <row r="69" spans="2:8" s="165" customFormat="1" ht="16.5" thickBot="1" x14ac:dyDescent="0.3">
      <c r="B69" s="166"/>
      <c r="D69" s="177"/>
      <c r="E69" s="616"/>
      <c r="F69" s="616"/>
      <c r="G69" s="622"/>
      <c r="H69" s="167"/>
    </row>
    <row r="70" spans="2:8" s="157" customFormat="1" ht="16.5" customHeight="1" thickBot="1" x14ac:dyDescent="0.3">
      <c r="B70" s="174" t="s">
        <v>384</v>
      </c>
      <c r="C70" s="175" t="s">
        <v>385</v>
      </c>
      <c r="D70" s="176"/>
      <c r="E70" s="615">
        <v>0</v>
      </c>
      <c r="F70" s="615"/>
      <c r="G70" s="625">
        <v>0</v>
      </c>
      <c r="H70" s="163"/>
    </row>
    <row r="71" spans="2:8" s="157" customFormat="1" ht="16.5" customHeight="1" x14ac:dyDescent="0.25">
      <c r="B71" s="628"/>
      <c r="C71" s="629"/>
      <c r="D71" s="630"/>
      <c r="E71" s="631"/>
      <c r="F71" s="631"/>
      <c r="G71" s="632"/>
      <c r="H71" s="163"/>
    </row>
    <row r="72" spans="2:8" s="165" customFormat="1" ht="15.75" x14ac:dyDescent="0.25">
      <c r="B72" s="633"/>
      <c r="C72" s="634" t="s">
        <v>724</v>
      </c>
      <c r="D72" s="635"/>
      <c r="E72" s="636"/>
      <c r="F72" s="636"/>
      <c r="G72" s="637">
        <f>G9+G52+G56+G63+G68+G70</f>
        <v>4022645</v>
      </c>
      <c r="H72" s="167"/>
    </row>
    <row r="73" spans="2:8" ht="9.75" customHeight="1" thickBot="1" x14ac:dyDescent="0.25">
      <c r="B73" s="638"/>
      <c r="C73" s="639"/>
      <c r="D73" s="640"/>
      <c r="E73" s="641"/>
      <c r="F73" s="641"/>
      <c r="G73" s="642"/>
    </row>
    <row r="74" spans="2:8" ht="16.5" thickBot="1" x14ac:dyDescent="0.3">
      <c r="B74" s="152" t="s">
        <v>300</v>
      </c>
      <c r="C74" s="153"/>
      <c r="D74" s="178"/>
      <c r="E74" s="644"/>
      <c r="F74" s="644"/>
      <c r="G74" s="645"/>
    </row>
    <row r="75" spans="2:8" ht="15.75" thickBot="1" x14ac:dyDescent="0.25">
      <c r="B75" s="155"/>
      <c r="D75" s="170"/>
      <c r="E75" s="613"/>
      <c r="F75" s="613"/>
      <c r="G75" s="623"/>
    </row>
    <row r="76" spans="2:8" s="157" customFormat="1" ht="16.5" customHeight="1" thickBot="1" x14ac:dyDescent="0.3">
      <c r="B76" s="174" t="s">
        <v>386</v>
      </c>
      <c r="C76" s="175" t="s">
        <v>387</v>
      </c>
      <c r="D76" s="176"/>
      <c r="E76" s="615">
        <v>2410436</v>
      </c>
      <c r="F76" s="615"/>
      <c r="G76" s="625">
        <f>E76-F76</f>
        <v>2410436</v>
      </c>
      <c r="H76" s="163"/>
    </row>
    <row r="77" spans="2:8" ht="15.75" thickBot="1" x14ac:dyDescent="0.25">
      <c r="B77" s="155"/>
      <c r="D77" s="170"/>
      <c r="E77" s="613"/>
      <c r="F77" s="613"/>
      <c r="G77" s="625">
        <f t="shared" ref="G77:G105" si="2">E77-F77</f>
        <v>0</v>
      </c>
    </row>
    <row r="78" spans="2:8" s="157" customFormat="1" ht="16.5" customHeight="1" thickBot="1" x14ac:dyDescent="0.3">
      <c r="B78" s="174" t="s">
        <v>388</v>
      </c>
      <c r="C78" s="175" t="s">
        <v>389</v>
      </c>
      <c r="D78" s="602"/>
      <c r="E78" s="615">
        <f>E79+E80+E81</f>
        <v>0</v>
      </c>
      <c r="F78" s="615"/>
      <c r="G78" s="625">
        <f t="shared" si="2"/>
        <v>0</v>
      </c>
      <c r="H78" s="163"/>
    </row>
    <row r="79" spans="2:8" ht="16.5" thickBot="1" x14ac:dyDescent="0.3">
      <c r="B79" s="653" t="s">
        <v>317</v>
      </c>
      <c r="C79" s="654" t="s">
        <v>390</v>
      </c>
      <c r="D79" s="655"/>
      <c r="E79" s="648"/>
      <c r="F79" s="661"/>
      <c r="G79" s="646">
        <f t="shared" si="2"/>
        <v>0</v>
      </c>
    </row>
    <row r="80" spans="2:8" ht="16.5" thickBot="1" x14ac:dyDescent="0.3">
      <c r="B80" s="656" t="s">
        <v>319</v>
      </c>
      <c r="C80" s="652" t="s">
        <v>391</v>
      </c>
      <c r="D80" s="657"/>
      <c r="E80" s="649">
        <v>0</v>
      </c>
      <c r="F80" s="662"/>
      <c r="G80" s="625">
        <f t="shared" si="2"/>
        <v>0</v>
      </c>
    </row>
    <row r="81" spans="2:8" ht="16.5" thickBot="1" x14ac:dyDescent="0.3">
      <c r="B81" s="656" t="s">
        <v>321</v>
      </c>
      <c r="C81" s="652" t="s">
        <v>320</v>
      </c>
      <c r="D81" s="657"/>
      <c r="E81" s="649"/>
      <c r="F81" s="662"/>
      <c r="G81" s="625">
        <f t="shared" si="2"/>
        <v>0</v>
      </c>
    </row>
    <row r="82" spans="2:8" ht="15.75" thickBot="1" x14ac:dyDescent="0.25">
      <c r="B82" s="658"/>
      <c r="C82" s="659"/>
      <c r="D82" s="660"/>
      <c r="E82" s="650"/>
      <c r="F82" s="647"/>
      <c r="G82" s="625">
        <f t="shared" si="2"/>
        <v>0</v>
      </c>
    </row>
    <row r="83" spans="2:8" s="157" customFormat="1" ht="16.5" customHeight="1" thickBot="1" x14ac:dyDescent="0.3">
      <c r="B83" s="599" t="s">
        <v>392</v>
      </c>
      <c r="C83" s="651" t="s">
        <v>394</v>
      </c>
      <c r="D83" s="600"/>
      <c r="E83" s="615"/>
      <c r="F83" s="615"/>
      <c r="G83" s="625">
        <f t="shared" si="2"/>
        <v>0</v>
      </c>
      <c r="H83" s="163"/>
    </row>
    <row r="84" spans="2:8" ht="15.75" thickBot="1" x14ac:dyDescent="0.25">
      <c r="B84" s="601"/>
      <c r="C84" s="153"/>
      <c r="D84" s="643"/>
      <c r="E84" s="613"/>
      <c r="F84" s="613"/>
      <c r="G84" s="625">
        <f t="shared" si="2"/>
        <v>0</v>
      </c>
    </row>
    <row r="85" spans="2:8" s="157" customFormat="1" ht="16.5" customHeight="1" thickBot="1" x14ac:dyDescent="0.3">
      <c r="B85" s="174" t="s">
        <v>393</v>
      </c>
      <c r="C85" s="175" t="s">
        <v>395</v>
      </c>
      <c r="D85" s="176"/>
      <c r="E85" s="615">
        <v>1612209</v>
      </c>
      <c r="F85" s="615"/>
      <c r="G85" s="625">
        <v>1612209</v>
      </c>
      <c r="H85" s="163"/>
    </row>
    <row r="86" spans="2:8" ht="15.75" thickBot="1" x14ac:dyDescent="0.25">
      <c r="B86" s="155"/>
      <c r="D86" s="170"/>
      <c r="E86" s="613"/>
      <c r="F86" s="613"/>
      <c r="G86" s="625">
        <f t="shared" si="2"/>
        <v>0</v>
      </c>
    </row>
    <row r="87" spans="2:8" s="157" customFormat="1" ht="40.15" customHeight="1" thickBot="1" x14ac:dyDescent="0.3">
      <c r="B87" s="668"/>
      <c r="C87" s="671" t="s">
        <v>725</v>
      </c>
      <c r="D87" s="669"/>
      <c r="E87" s="670">
        <f t="shared" ref="E87:F87" si="3">E76+E78+E85</f>
        <v>4022645</v>
      </c>
      <c r="F87" s="670">
        <f t="shared" si="3"/>
        <v>0</v>
      </c>
      <c r="G87" s="670">
        <f>G76+G78+G85</f>
        <v>4022645</v>
      </c>
      <c r="H87" s="163"/>
    </row>
    <row r="88" spans="2:8" x14ac:dyDescent="0.2">
      <c r="B88" s="155"/>
      <c r="D88" s="170"/>
      <c r="E88" s="536"/>
      <c r="F88" s="536"/>
      <c r="G88" s="663"/>
    </row>
    <row r="89" spans="2:8" x14ac:dyDescent="0.2">
      <c r="B89" s="155"/>
      <c r="E89" s="536" t="s">
        <v>347</v>
      </c>
      <c r="F89" s="536"/>
      <c r="G89" s="663"/>
    </row>
    <row r="90" spans="2:8" ht="16.149999999999999" customHeight="1" thickBot="1" x14ac:dyDescent="0.25">
      <c r="B90" s="155"/>
      <c r="E90" s="536"/>
      <c r="F90" s="536"/>
      <c r="G90" s="663"/>
    </row>
    <row r="91" spans="2:8" s="161" customFormat="1" ht="16.5" thickBot="1" x14ac:dyDescent="0.3">
      <c r="B91" s="152" t="s">
        <v>396</v>
      </c>
      <c r="C91" s="162"/>
      <c r="D91" s="667"/>
      <c r="E91" s="538"/>
      <c r="F91" s="538"/>
      <c r="G91" s="663"/>
      <c r="H91" s="163"/>
    </row>
    <row r="92" spans="2:8" s="161" customFormat="1" ht="16.5" thickBot="1" x14ac:dyDescent="0.3">
      <c r="B92" s="164"/>
      <c r="C92" s="165" t="s">
        <v>397</v>
      </c>
      <c r="E92" s="664">
        <f>SUM(E93:E95)</f>
        <v>832097</v>
      </c>
      <c r="F92" s="538"/>
      <c r="G92" s="604">
        <f t="shared" si="2"/>
        <v>832097</v>
      </c>
      <c r="H92" s="163"/>
    </row>
    <row r="93" spans="2:8" s="161" customFormat="1" ht="16.5" thickBot="1" x14ac:dyDescent="0.3">
      <c r="B93" s="164"/>
      <c r="C93" s="147" t="s">
        <v>336</v>
      </c>
      <c r="E93" s="665"/>
      <c r="F93" s="538"/>
      <c r="G93" s="604">
        <f t="shared" si="2"/>
        <v>0</v>
      </c>
      <c r="H93" s="163"/>
    </row>
    <row r="94" spans="2:8" s="161" customFormat="1" ht="16.5" thickBot="1" x14ac:dyDescent="0.3">
      <c r="B94" s="164"/>
      <c r="C94" s="147" t="s">
        <v>398</v>
      </c>
      <c r="E94" s="665"/>
      <c r="F94" s="538"/>
      <c r="G94" s="604">
        <f t="shared" si="2"/>
        <v>0</v>
      </c>
      <c r="H94" s="163"/>
    </row>
    <row r="95" spans="2:8" s="161" customFormat="1" ht="16.5" thickBot="1" x14ac:dyDescent="0.3">
      <c r="B95" s="164"/>
      <c r="C95" s="147" t="s">
        <v>767</v>
      </c>
      <c r="E95" s="665">
        <v>832097</v>
      </c>
      <c r="F95" s="538"/>
      <c r="G95" s="604">
        <f t="shared" si="2"/>
        <v>832097</v>
      </c>
      <c r="H95" s="163"/>
    </row>
    <row r="96" spans="2:8" s="161" customFormat="1" ht="16.5" thickBot="1" x14ac:dyDescent="0.3">
      <c r="B96" s="164"/>
      <c r="C96" s="147"/>
      <c r="E96" s="665"/>
      <c r="F96" s="538"/>
      <c r="G96" s="604">
        <f t="shared" si="2"/>
        <v>0</v>
      </c>
      <c r="H96" s="163"/>
    </row>
    <row r="97" spans="2:8" s="165" customFormat="1" ht="16.5" thickBot="1" x14ac:dyDescent="0.3">
      <c r="B97" s="166"/>
      <c r="C97" s="165" t="s">
        <v>399</v>
      </c>
      <c r="E97" s="666">
        <f>SUM(E98:E99)</f>
        <v>65062</v>
      </c>
      <c r="F97" s="537"/>
      <c r="G97" s="604">
        <f t="shared" si="2"/>
        <v>65062</v>
      </c>
      <c r="H97" s="167"/>
    </row>
    <row r="98" spans="2:8" s="161" customFormat="1" ht="16.5" thickBot="1" x14ac:dyDescent="0.3">
      <c r="B98" s="164"/>
      <c r="C98" s="147" t="s">
        <v>400</v>
      </c>
      <c r="E98" s="665">
        <v>157</v>
      </c>
      <c r="F98" s="538"/>
      <c r="G98" s="604">
        <f t="shared" si="2"/>
        <v>157</v>
      </c>
      <c r="H98" s="163"/>
    </row>
    <row r="99" spans="2:8" s="161" customFormat="1" ht="16.5" thickBot="1" x14ac:dyDescent="0.3">
      <c r="B99" s="164"/>
      <c r="C99" s="147" t="s">
        <v>768</v>
      </c>
      <c r="E99" s="665">
        <v>64905</v>
      </c>
      <c r="F99" s="538"/>
      <c r="G99" s="604">
        <f t="shared" si="2"/>
        <v>64905</v>
      </c>
      <c r="H99" s="163"/>
    </row>
    <row r="100" spans="2:8" ht="15.75" thickBot="1" x14ac:dyDescent="0.25">
      <c r="B100" s="155"/>
      <c r="E100" s="665"/>
      <c r="F100" s="534"/>
      <c r="G100" s="604">
        <f t="shared" si="2"/>
        <v>0</v>
      </c>
      <c r="H100" s="147"/>
    </row>
    <row r="101" spans="2:8" ht="16.5" thickBot="1" x14ac:dyDescent="0.3">
      <c r="B101" s="155"/>
      <c r="C101" s="165" t="s">
        <v>401</v>
      </c>
      <c r="E101" s="665"/>
      <c r="F101" s="534"/>
      <c r="G101" s="604">
        <f t="shared" si="2"/>
        <v>0</v>
      </c>
      <c r="H101" s="147"/>
    </row>
    <row r="102" spans="2:8" s="165" customFormat="1" ht="16.5" thickBot="1" x14ac:dyDescent="0.3">
      <c r="B102" s="166"/>
      <c r="E102" s="666"/>
      <c r="F102" s="539"/>
      <c r="G102" s="604">
        <f t="shared" si="2"/>
        <v>0</v>
      </c>
    </row>
    <row r="103" spans="2:8" ht="15.75" thickBot="1" x14ac:dyDescent="0.25">
      <c r="B103" s="155"/>
      <c r="E103" s="665"/>
      <c r="F103" s="534"/>
      <c r="G103" s="604">
        <f t="shared" si="2"/>
        <v>0</v>
      </c>
      <c r="H103" s="147"/>
    </row>
    <row r="104" spans="2:8" ht="16.5" thickBot="1" x14ac:dyDescent="0.3">
      <c r="B104" s="155"/>
      <c r="C104" s="165" t="s">
        <v>402</v>
      </c>
      <c r="E104" s="665"/>
      <c r="F104" s="534"/>
      <c r="G104" s="604">
        <f t="shared" si="2"/>
        <v>0</v>
      </c>
      <c r="H104" s="147"/>
    </row>
    <row r="105" spans="2:8" ht="15.75" thickBot="1" x14ac:dyDescent="0.25">
      <c r="B105" s="179"/>
      <c r="C105" s="180"/>
      <c r="D105" s="180"/>
      <c r="E105" s="647"/>
      <c r="F105" s="540"/>
      <c r="G105" s="604">
        <f t="shared" si="2"/>
        <v>0</v>
      </c>
    </row>
  </sheetData>
  <mergeCells count="3">
    <mergeCell ref="B5:G5"/>
    <mergeCell ref="E7:G7"/>
    <mergeCell ref="C50:D50"/>
  </mergeCells>
  <phoneticPr fontId="30" type="noConversion"/>
  <pageMargins left="0.74803149606299213" right="0.74803149606299213" top="0.98425196850393704" bottom="0.98425196850393704" header="0.51181102362204722" footer="0.51181102362204722"/>
  <pageSetup paperSize="8" scale="62" orientation="portrait" r:id="rId1"/>
  <headerFooter alignWithMargins="0">
    <oddHeader>&amp;R13.MELLÉKLET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Q92"/>
  <sheetViews>
    <sheetView workbookViewId="0">
      <selection activeCell="G9" sqref="G9"/>
    </sheetView>
  </sheetViews>
  <sheetFormatPr defaultRowHeight="12.75" x14ac:dyDescent="0.2"/>
  <cols>
    <col min="2" max="2" width="63.140625" customWidth="1"/>
    <col min="3" max="3" width="28.28515625" customWidth="1"/>
    <col min="6" max="6" width="11.42578125" bestFit="1" customWidth="1"/>
  </cols>
  <sheetData>
    <row r="1" spans="1:17" ht="15" x14ac:dyDescent="0.2">
      <c r="A1" s="181"/>
      <c r="B1" s="182"/>
      <c r="C1" s="182"/>
      <c r="D1" s="182"/>
      <c r="E1" s="182"/>
      <c r="F1" s="182"/>
      <c r="G1" s="182"/>
      <c r="H1" s="181"/>
      <c r="I1" s="181"/>
      <c r="J1" s="181"/>
      <c r="K1" s="181"/>
      <c r="L1" s="181"/>
      <c r="M1" s="181"/>
      <c r="N1" s="181"/>
      <c r="O1" s="181"/>
      <c r="P1" s="181"/>
      <c r="Q1" s="181"/>
    </row>
    <row r="2" spans="1:17" ht="15" x14ac:dyDescent="0.2">
      <c r="A2" s="181"/>
      <c r="B2" s="182"/>
      <c r="C2" s="182"/>
      <c r="D2" s="182"/>
      <c r="E2" s="182"/>
      <c r="F2" s="182"/>
      <c r="G2" s="182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 ht="15" x14ac:dyDescent="0.2">
      <c r="A3" s="181"/>
      <c r="B3" s="182"/>
      <c r="C3" s="182"/>
      <c r="D3" s="182"/>
      <c r="E3" s="182"/>
      <c r="F3" s="182"/>
      <c r="G3" s="182"/>
      <c r="H3" s="181"/>
      <c r="I3" s="181"/>
      <c r="J3" s="181"/>
      <c r="K3" s="181"/>
      <c r="L3" s="181"/>
      <c r="M3" s="181"/>
      <c r="N3" s="181"/>
      <c r="O3" s="181"/>
      <c r="P3" s="181"/>
      <c r="Q3" s="181"/>
    </row>
    <row r="4" spans="1:17" ht="43.5" customHeight="1" x14ac:dyDescent="0.25">
      <c r="A4" s="181"/>
      <c r="B4" s="1112" t="s">
        <v>864</v>
      </c>
      <c r="C4" s="1112"/>
      <c r="D4" s="182"/>
      <c r="E4" s="182"/>
      <c r="F4" s="182"/>
      <c r="G4" s="182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7" ht="15" x14ac:dyDescent="0.2">
      <c r="A5" s="181"/>
      <c r="B5" s="182"/>
      <c r="C5" s="501"/>
      <c r="D5" s="182"/>
      <c r="E5" s="182"/>
      <c r="F5" s="182"/>
      <c r="G5" s="182"/>
      <c r="H5" s="181"/>
      <c r="I5" s="181"/>
      <c r="J5" s="181"/>
      <c r="K5" s="181"/>
      <c r="L5" s="181"/>
      <c r="M5" s="181"/>
      <c r="N5" s="181"/>
      <c r="O5" s="181"/>
      <c r="P5" s="181"/>
      <c r="Q5" s="181"/>
    </row>
    <row r="6" spans="1:17" x14ac:dyDescent="0.2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</row>
    <row r="7" spans="1:17" x14ac:dyDescent="0.2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</row>
    <row r="8" spans="1:17" ht="18" x14ac:dyDescent="0.25">
      <c r="A8" s="181"/>
      <c r="B8" s="1010" t="s">
        <v>668</v>
      </c>
      <c r="C8" s="1010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</row>
    <row r="9" spans="1:17" ht="16.5" thickBot="1" x14ac:dyDescent="0.3">
      <c r="A9" s="181"/>
      <c r="B9" s="485"/>
      <c r="C9" s="486" t="s">
        <v>669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1:17" ht="24.6" customHeight="1" x14ac:dyDescent="0.2">
      <c r="A10" s="181"/>
      <c r="B10" s="487" t="s">
        <v>403</v>
      </c>
      <c r="C10" s="488">
        <v>403983702</v>
      </c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1:17" ht="25.9" customHeight="1" x14ac:dyDescent="0.25">
      <c r="A11" s="181"/>
      <c r="B11" s="489" t="s">
        <v>670</v>
      </c>
      <c r="C11" s="490">
        <v>5361425697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7" ht="21.6" customHeight="1" x14ac:dyDescent="0.2">
      <c r="A12" s="181"/>
      <c r="B12" s="491" t="s">
        <v>671</v>
      </c>
      <c r="C12" s="492">
        <v>0</v>
      </c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7" ht="23.45" customHeight="1" x14ac:dyDescent="0.2">
      <c r="A13" s="181"/>
      <c r="B13" s="493" t="s">
        <v>865</v>
      </c>
      <c r="C13" s="494">
        <v>403983702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7" ht="26.45" customHeight="1" x14ac:dyDescent="0.25">
      <c r="A14" s="181"/>
      <c r="B14" s="489" t="s">
        <v>672</v>
      </c>
      <c r="C14" s="490">
        <v>3738644518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7" ht="23.45" customHeight="1" thickBot="1" x14ac:dyDescent="0.25">
      <c r="A15" s="181"/>
      <c r="B15" s="495" t="s">
        <v>404</v>
      </c>
      <c r="C15" s="496">
        <f>+C10+C11+C12-C13-C14</f>
        <v>1622781179</v>
      </c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7" ht="15.75" x14ac:dyDescent="0.25">
      <c r="A16" s="181"/>
      <c r="B16" s="497"/>
      <c r="C16" s="498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ht="15.75" x14ac:dyDescent="0.25">
      <c r="A17" s="181"/>
      <c r="B17" s="499"/>
      <c r="C17" s="500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7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7" x14ac:dyDescent="0.2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7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7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7" x14ac:dyDescent="0.2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7" x14ac:dyDescent="0.2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1:17" x14ac:dyDescent="0.2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7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7" x14ac:dyDescent="0.2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7" x14ac:dyDescent="0.2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7" x14ac:dyDescent="0.2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7" x14ac:dyDescent="0.2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 x14ac:dyDescent="0.2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1:17" x14ac:dyDescent="0.2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x14ac:dyDescent="0.2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x14ac:dyDescent="0.2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x14ac:dyDescent="0.2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17" x14ac:dyDescent="0.2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17" x14ac:dyDescent="0.2">
      <c r="A38" s="181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1:17" x14ac:dyDescent="0.2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1:17" x14ac:dyDescent="0.2">
      <c r="A40" s="181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1:17" x14ac:dyDescent="0.2">
      <c r="A41" s="181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x14ac:dyDescent="0.2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x14ac:dyDescent="0.2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1:17" x14ac:dyDescent="0.2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1:17" x14ac:dyDescent="0.2">
      <c r="A47" s="181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17" x14ac:dyDescent="0.2">
      <c r="A48" s="181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1:17" x14ac:dyDescent="0.2">
      <c r="A49" s="181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1:17" x14ac:dyDescent="0.2">
      <c r="A50" s="181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1:17" x14ac:dyDescent="0.2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1:17" x14ac:dyDescent="0.2">
      <c r="A52" s="181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1:17" x14ac:dyDescent="0.2">
      <c r="A53" s="181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1:17" x14ac:dyDescent="0.2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1:17" x14ac:dyDescent="0.2">
      <c r="A55" s="181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1:17" x14ac:dyDescent="0.2">
      <c r="A56" s="181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1:17" x14ac:dyDescent="0.2">
      <c r="A57" s="181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1:17" x14ac:dyDescent="0.2">
      <c r="A58" s="18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1:17" x14ac:dyDescent="0.2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1:17" x14ac:dyDescent="0.2">
      <c r="A60" s="181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1:17" x14ac:dyDescent="0.2">
      <c r="A61" s="181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x14ac:dyDescent="0.2">
      <c r="A62" s="181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1:17" x14ac:dyDescent="0.2">
      <c r="A63" s="181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1:17" x14ac:dyDescent="0.2">
      <c r="A64" s="181"/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1:17" x14ac:dyDescent="0.2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1:17" x14ac:dyDescent="0.2">
      <c r="A66" s="181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1:17" x14ac:dyDescent="0.2">
      <c r="A67" s="181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1:17" x14ac:dyDescent="0.2">
      <c r="A68" s="181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1:17" x14ac:dyDescent="0.2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1:17" x14ac:dyDescent="0.2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1:17" x14ac:dyDescent="0.2">
      <c r="A71" s="181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1:17" x14ac:dyDescent="0.2">
      <c r="A72" s="181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1:17" x14ac:dyDescent="0.2">
      <c r="A73" s="181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1:17" x14ac:dyDescent="0.2">
      <c r="A74" s="181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1:17" x14ac:dyDescent="0.2">
      <c r="A75" s="181"/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1:17" x14ac:dyDescent="0.2">
      <c r="A76" s="181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1:17" x14ac:dyDescent="0.2">
      <c r="A77" s="181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1:17" x14ac:dyDescent="0.2">
      <c r="A78" s="181"/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1:17" x14ac:dyDescent="0.2">
      <c r="A79" s="181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1:17" x14ac:dyDescent="0.2">
      <c r="A80" s="181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1:17" x14ac:dyDescent="0.2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1:17" x14ac:dyDescent="0.2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1:17" x14ac:dyDescent="0.2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1:17" x14ac:dyDescent="0.2">
      <c r="A84" s="181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1:17" x14ac:dyDescent="0.2">
      <c r="A85" s="181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1:17" x14ac:dyDescent="0.2">
      <c r="A86" s="181"/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1:17" x14ac:dyDescent="0.2">
      <c r="A87" s="181"/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1:17" x14ac:dyDescent="0.2">
      <c r="A88" s="181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1:17" x14ac:dyDescent="0.2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1:17" x14ac:dyDescent="0.2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1:17" x14ac:dyDescent="0.2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1:17" x14ac:dyDescent="0.2">
      <c r="A92" s="181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</sheetData>
  <mergeCells count="2">
    <mergeCell ref="B4:C4"/>
    <mergeCell ref="B8:C8"/>
  </mergeCells>
  <phoneticPr fontId="30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>
    <oddHeader>&amp;R14.MELLÉKLET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A1:H126"/>
  <sheetViews>
    <sheetView topLeftCell="A52" workbookViewId="0">
      <selection activeCell="J69" sqref="J69"/>
    </sheetView>
  </sheetViews>
  <sheetFormatPr defaultRowHeight="12.75" x14ac:dyDescent="0.2"/>
  <cols>
    <col min="1" max="1" width="73.42578125" customWidth="1"/>
    <col min="2" max="2" width="18.28515625" customWidth="1"/>
    <col min="3" max="5" width="19.42578125" customWidth="1"/>
    <col min="6" max="6" width="16" customWidth="1"/>
    <col min="255" max="255" width="73.42578125" customWidth="1"/>
    <col min="256" max="256" width="18.5703125" customWidth="1"/>
    <col min="257" max="261" width="19.42578125" customWidth="1"/>
    <col min="511" max="511" width="73.42578125" customWidth="1"/>
    <col min="512" max="512" width="18.5703125" customWidth="1"/>
    <col min="513" max="517" width="19.42578125" customWidth="1"/>
    <col min="767" max="767" width="73.42578125" customWidth="1"/>
    <col min="768" max="768" width="18.5703125" customWidth="1"/>
    <col min="769" max="773" width="19.42578125" customWidth="1"/>
    <col min="1023" max="1023" width="73.42578125" customWidth="1"/>
    <col min="1024" max="1024" width="18.5703125" customWidth="1"/>
    <col min="1025" max="1029" width="19.42578125" customWidth="1"/>
    <col min="1279" max="1279" width="73.42578125" customWidth="1"/>
    <col min="1280" max="1280" width="18.5703125" customWidth="1"/>
    <col min="1281" max="1285" width="19.42578125" customWidth="1"/>
    <col min="1535" max="1535" width="73.42578125" customWidth="1"/>
    <col min="1536" max="1536" width="18.5703125" customWidth="1"/>
    <col min="1537" max="1541" width="19.42578125" customWidth="1"/>
    <col min="1791" max="1791" width="73.42578125" customWidth="1"/>
    <col min="1792" max="1792" width="18.5703125" customWidth="1"/>
    <col min="1793" max="1797" width="19.42578125" customWidth="1"/>
    <col min="2047" max="2047" width="73.42578125" customWidth="1"/>
    <col min="2048" max="2048" width="18.5703125" customWidth="1"/>
    <col min="2049" max="2053" width="19.42578125" customWidth="1"/>
    <col min="2303" max="2303" width="73.42578125" customWidth="1"/>
    <col min="2304" max="2304" width="18.5703125" customWidth="1"/>
    <col min="2305" max="2309" width="19.42578125" customWidth="1"/>
    <col min="2559" max="2559" width="73.42578125" customWidth="1"/>
    <col min="2560" max="2560" width="18.5703125" customWidth="1"/>
    <col min="2561" max="2565" width="19.42578125" customWidth="1"/>
    <col min="2815" max="2815" width="73.42578125" customWidth="1"/>
    <col min="2816" max="2816" width="18.5703125" customWidth="1"/>
    <col min="2817" max="2821" width="19.42578125" customWidth="1"/>
    <col min="3071" max="3071" width="73.42578125" customWidth="1"/>
    <col min="3072" max="3072" width="18.5703125" customWidth="1"/>
    <col min="3073" max="3077" width="19.42578125" customWidth="1"/>
    <col min="3327" max="3327" width="73.42578125" customWidth="1"/>
    <col min="3328" max="3328" width="18.5703125" customWidth="1"/>
    <col min="3329" max="3333" width="19.42578125" customWidth="1"/>
    <col min="3583" max="3583" width="73.42578125" customWidth="1"/>
    <col min="3584" max="3584" width="18.5703125" customWidth="1"/>
    <col min="3585" max="3589" width="19.42578125" customWidth="1"/>
    <col min="3839" max="3839" width="73.42578125" customWidth="1"/>
    <col min="3840" max="3840" width="18.5703125" customWidth="1"/>
    <col min="3841" max="3845" width="19.42578125" customWidth="1"/>
    <col min="4095" max="4095" width="73.42578125" customWidth="1"/>
    <col min="4096" max="4096" width="18.5703125" customWidth="1"/>
    <col min="4097" max="4101" width="19.42578125" customWidth="1"/>
    <col min="4351" max="4351" width="73.42578125" customWidth="1"/>
    <col min="4352" max="4352" width="18.5703125" customWidth="1"/>
    <col min="4353" max="4357" width="19.42578125" customWidth="1"/>
    <col min="4607" max="4607" width="73.42578125" customWidth="1"/>
    <col min="4608" max="4608" width="18.5703125" customWidth="1"/>
    <col min="4609" max="4613" width="19.42578125" customWidth="1"/>
    <col min="4863" max="4863" width="73.42578125" customWidth="1"/>
    <col min="4864" max="4864" width="18.5703125" customWidth="1"/>
    <col min="4865" max="4869" width="19.42578125" customWidth="1"/>
    <col min="5119" max="5119" width="73.42578125" customWidth="1"/>
    <col min="5120" max="5120" width="18.5703125" customWidth="1"/>
    <col min="5121" max="5125" width="19.42578125" customWidth="1"/>
    <col min="5375" max="5375" width="73.42578125" customWidth="1"/>
    <col min="5376" max="5376" width="18.5703125" customWidth="1"/>
    <col min="5377" max="5381" width="19.42578125" customWidth="1"/>
    <col min="5631" max="5631" width="73.42578125" customWidth="1"/>
    <col min="5632" max="5632" width="18.5703125" customWidth="1"/>
    <col min="5633" max="5637" width="19.42578125" customWidth="1"/>
    <col min="5887" max="5887" width="73.42578125" customWidth="1"/>
    <col min="5888" max="5888" width="18.5703125" customWidth="1"/>
    <col min="5889" max="5893" width="19.42578125" customWidth="1"/>
    <col min="6143" max="6143" width="73.42578125" customWidth="1"/>
    <col min="6144" max="6144" width="18.5703125" customWidth="1"/>
    <col min="6145" max="6149" width="19.42578125" customWidth="1"/>
    <col min="6399" max="6399" width="73.42578125" customWidth="1"/>
    <col min="6400" max="6400" width="18.5703125" customWidth="1"/>
    <col min="6401" max="6405" width="19.42578125" customWidth="1"/>
    <col min="6655" max="6655" width="73.42578125" customWidth="1"/>
    <col min="6656" max="6656" width="18.5703125" customWidth="1"/>
    <col min="6657" max="6661" width="19.42578125" customWidth="1"/>
    <col min="6911" max="6911" width="73.42578125" customWidth="1"/>
    <col min="6912" max="6912" width="18.5703125" customWidth="1"/>
    <col min="6913" max="6917" width="19.42578125" customWidth="1"/>
    <col min="7167" max="7167" width="73.42578125" customWidth="1"/>
    <col min="7168" max="7168" width="18.5703125" customWidth="1"/>
    <col min="7169" max="7173" width="19.42578125" customWidth="1"/>
    <col min="7423" max="7423" width="73.42578125" customWidth="1"/>
    <col min="7424" max="7424" width="18.5703125" customWidth="1"/>
    <col min="7425" max="7429" width="19.42578125" customWidth="1"/>
    <col min="7679" max="7679" width="73.42578125" customWidth="1"/>
    <col min="7680" max="7680" width="18.5703125" customWidth="1"/>
    <col min="7681" max="7685" width="19.42578125" customWidth="1"/>
    <col min="7935" max="7935" width="73.42578125" customWidth="1"/>
    <col min="7936" max="7936" width="18.5703125" customWidth="1"/>
    <col min="7937" max="7941" width="19.42578125" customWidth="1"/>
    <col min="8191" max="8191" width="73.42578125" customWidth="1"/>
    <col min="8192" max="8192" width="18.5703125" customWidth="1"/>
    <col min="8193" max="8197" width="19.42578125" customWidth="1"/>
    <col min="8447" max="8447" width="73.42578125" customWidth="1"/>
    <col min="8448" max="8448" width="18.5703125" customWidth="1"/>
    <col min="8449" max="8453" width="19.42578125" customWidth="1"/>
    <col min="8703" max="8703" width="73.42578125" customWidth="1"/>
    <col min="8704" max="8704" width="18.5703125" customWidth="1"/>
    <col min="8705" max="8709" width="19.42578125" customWidth="1"/>
    <col min="8959" max="8959" width="73.42578125" customWidth="1"/>
    <col min="8960" max="8960" width="18.5703125" customWidth="1"/>
    <col min="8961" max="8965" width="19.42578125" customWidth="1"/>
    <col min="9215" max="9215" width="73.42578125" customWidth="1"/>
    <col min="9216" max="9216" width="18.5703125" customWidth="1"/>
    <col min="9217" max="9221" width="19.42578125" customWidth="1"/>
    <col min="9471" max="9471" width="73.42578125" customWidth="1"/>
    <col min="9472" max="9472" width="18.5703125" customWidth="1"/>
    <col min="9473" max="9477" width="19.42578125" customWidth="1"/>
    <col min="9727" max="9727" width="73.42578125" customWidth="1"/>
    <col min="9728" max="9728" width="18.5703125" customWidth="1"/>
    <col min="9729" max="9733" width="19.42578125" customWidth="1"/>
    <col min="9983" max="9983" width="73.42578125" customWidth="1"/>
    <col min="9984" max="9984" width="18.5703125" customWidth="1"/>
    <col min="9985" max="9989" width="19.42578125" customWidth="1"/>
    <col min="10239" max="10239" width="73.42578125" customWidth="1"/>
    <col min="10240" max="10240" width="18.5703125" customWidth="1"/>
    <col min="10241" max="10245" width="19.42578125" customWidth="1"/>
    <col min="10495" max="10495" width="73.42578125" customWidth="1"/>
    <col min="10496" max="10496" width="18.5703125" customWidth="1"/>
    <col min="10497" max="10501" width="19.42578125" customWidth="1"/>
    <col min="10751" max="10751" width="73.42578125" customWidth="1"/>
    <col min="10752" max="10752" width="18.5703125" customWidth="1"/>
    <col min="10753" max="10757" width="19.42578125" customWidth="1"/>
    <col min="11007" max="11007" width="73.42578125" customWidth="1"/>
    <col min="11008" max="11008" width="18.5703125" customWidth="1"/>
    <col min="11009" max="11013" width="19.42578125" customWidth="1"/>
    <col min="11263" max="11263" width="73.42578125" customWidth="1"/>
    <col min="11264" max="11264" width="18.5703125" customWidth="1"/>
    <col min="11265" max="11269" width="19.42578125" customWidth="1"/>
    <col min="11519" max="11519" width="73.42578125" customWidth="1"/>
    <col min="11520" max="11520" width="18.5703125" customWidth="1"/>
    <col min="11521" max="11525" width="19.42578125" customWidth="1"/>
    <col min="11775" max="11775" width="73.42578125" customWidth="1"/>
    <col min="11776" max="11776" width="18.5703125" customWidth="1"/>
    <col min="11777" max="11781" width="19.42578125" customWidth="1"/>
    <col min="12031" max="12031" width="73.42578125" customWidth="1"/>
    <col min="12032" max="12032" width="18.5703125" customWidth="1"/>
    <col min="12033" max="12037" width="19.42578125" customWidth="1"/>
    <col min="12287" max="12287" width="73.42578125" customWidth="1"/>
    <col min="12288" max="12288" width="18.5703125" customWidth="1"/>
    <col min="12289" max="12293" width="19.42578125" customWidth="1"/>
    <col min="12543" max="12543" width="73.42578125" customWidth="1"/>
    <col min="12544" max="12544" width="18.5703125" customWidth="1"/>
    <col min="12545" max="12549" width="19.42578125" customWidth="1"/>
    <col min="12799" max="12799" width="73.42578125" customWidth="1"/>
    <col min="12800" max="12800" width="18.5703125" customWidth="1"/>
    <col min="12801" max="12805" width="19.42578125" customWidth="1"/>
    <col min="13055" max="13055" width="73.42578125" customWidth="1"/>
    <col min="13056" max="13056" width="18.5703125" customWidth="1"/>
    <col min="13057" max="13061" width="19.42578125" customWidth="1"/>
    <col min="13311" max="13311" width="73.42578125" customWidth="1"/>
    <col min="13312" max="13312" width="18.5703125" customWidth="1"/>
    <col min="13313" max="13317" width="19.42578125" customWidth="1"/>
    <col min="13567" max="13567" width="73.42578125" customWidth="1"/>
    <col min="13568" max="13568" width="18.5703125" customWidth="1"/>
    <col min="13569" max="13573" width="19.42578125" customWidth="1"/>
    <col min="13823" max="13823" width="73.42578125" customWidth="1"/>
    <col min="13824" max="13824" width="18.5703125" customWidth="1"/>
    <col min="13825" max="13829" width="19.42578125" customWidth="1"/>
    <col min="14079" max="14079" width="73.42578125" customWidth="1"/>
    <col min="14080" max="14080" width="18.5703125" customWidth="1"/>
    <col min="14081" max="14085" width="19.42578125" customWidth="1"/>
    <col min="14335" max="14335" width="73.42578125" customWidth="1"/>
    <col min="14336" max="14336" width="18.5703125" customWidth="1"/>
    <col min="14337" max="14341" width="19.42578125" customWidth="1"/>
    <col min="14591" max="14591" width="73.42578125" customWidth="1"/>
    <col min="14592" max="14592" width="18.5703125" customWidth="1"/>
    <col min="14593" max="14597" width="19.42578125" customWidth="1"/>
    <col min="14847" max="14847" width="73.42578125" customWidth="1"/>
    <col min="14848" max="14848" width="18.5703125" customWidth="1"/>
    <col min="14849" max="14853" width="19.42578125" customWidth="1"/>
    <col min="15103" max="15103" width="73.42578125" customWidth="1"/>
    <col min="15104" max="15104" width="18.5703125" customWidth="1"/>
    <col min="15105" max="15109" width="19.42578125" customWidth="1"/>
    <col min="15359" max="15359" width="73.42578125" customWidth="1"/>
    <col min="15360" max="15360" width="18.5703125" customWidth="1"/>
    <col min="15361" max="15365" width="19.42578125" customWidth="1"/>
    <col min="15615" max="15615" width="73.42578125" customWidth="1"/>
    <col min="15616" max="15616" width="18.5703125" customWidth="1"/>
    <col min="15617" max="15621" width="19.42578125" customWidth="1"/>
    <col min="15871" max="15871" width="73.42578125" customWidth="1"/>
    <col min="15872" max="15872" width="18.5703125" customWidth="1"/>
    <col min="15873" max="15877" width="19.42578125" customWidth="1"/>
    <col min="16127" max="16127" width="73.42578125" customWidth="1"/>
    <col min="16128" max="16128" width="18.5703125" customWidth="1"/>
    <col min="16129" max="16133" width="19.42578125" customWidth="1"/>
  </cols>
  <sheetData>
    <row r="1" spans="1:6" ht="13.5" customHeight="1" x14ac:dyDescent="0.2">
      <c r="A1" s="1119" t="s">
        <v>136</v>
      </c>
      <c r="B1" s="1009"/>
      <c r="C1" s="1009"/>
      <c r="D1" s="1009"/>
      <c r="E1" s="1009"/>
      <c r="F1" s="54"/>
    </row>
    <row r="2" spans="1:6" ht="13.5" customHeight="1" x14ac:dyDescent="0.2">
      <c r="A2" s="1119" t="s">
        <v>869</v>
      </c>
      <c r="B2" s="1009"/>
      <c r="C2" s="1009"/>
      <c r="D2" s="1009"/>
      <c r="E2" s="1009"/>
      <c r="F2" s="54"/>
    </row>
    <row r="3" spans="1:6" ht="13.5" thickBot="1" x14ac:dyDescent="0.25">
      <c r="A3" s="54"/>
      <c r="B3" s="54"/>
      <c r="C3" s="54"/>
      <c r="D3" s="54"/>
      <c r="E3" s="54"/>
      <c r="F3" s="54"/>
    </row>
    <row r="4" spans="1:6" x14ac:dyDescent="0.2">
      <c r="A4" s="1117" t="s">
        <v>140</v>
      </c>
      <c r="B4" s="1113" t="s">
        <v>870</v>
      </c>
      <c r="C4" s="1113" t="s">
        <v>800</v>
      </c>
      <c r="D4" s="1113" t="s">
        <v>871</v>
      </c>
      <c r="E4" s="1120" t="s">
        <v>860</v>
      </c>
      <c r="F4" s="1113" t="s">
        <v>872</v>
      </c>
    </row>
    <row r="5" spans="1:6" ht="13.5" thickBot="1" x14ac:dyDescent="0.25">
      <c r="A5" s="1118"/>
      <c r="B5" s="1114"/>
      <c r="C5" s="1114"/>
      <c r="D5" s="1114"/>
      <c r="E5" s="1121"/>
      <c r="F5" s="1114"/>
    </row>
    <row r="6" spans="1:6" x14ac:dyDescent="0.2">
      <c r="A6" s="682" t="s">
        <v>31</v>
      </c>
      <c r="B6" s="683">
        <v>21690</v>
      </c>
      <c r="C6" s="683">
        <v>27707</v>
      </c>
      <c r="D6" s="683">
        <v>4374</v>
      </c>
      <c r="E6" s="684">
        <f t="shared" ref="E6:E33" si="0">C6+D6</f>
        <v>32081</v>
      </c>
      <c r="F6" s="685">
        <v>24732</v>
      </c>
    </row>
    <row r="7" spans="1:6" x14ac:dyDescent="0.2">
      <c r="A7" s="464" t="s">
        <v>27</v>
      </c>
      <c r="B7" s="686">
        <v>2979</v>
      </c>
      <c r="C7" s="993">
        <v>3132</v>
      </c>
      <c r="D7" s="993">
        <v>1099</v>
      </c>
      <c r="E7" s="684">
        <f t="shared" si="0"/>
        <v>4231</v>
      </c>
      <c r="F7" s="688">
        <v>2444</v>
      </c>
    </row>
    <row r="8" spans="1:6" x14ac:dyDescent="0.2">
      <c r="A8" s="464" t="s">
        <v>28</v>
      </c>
      <c r="B8" s="686">
        <v>60002</v>
      </c>
      <c r="C8" s="993">
        <v>50706</v>
      </c>
      <c r="D8" s="993">
        <v>4669</v>
      </c>
      <c r="E8" s="684">
        <v>11892</v>
      </c>
      <c r="F8" s="688">
        <v>6123</v>
      </c>
    </row>
    <row r="9" spans="1:6" ht="25.5" x14ac:dyDescent="0.2">
      <c r="A9" s="464" t="s">
        <v>653</v>
      </c>
      <c r="B9" s="686">
        <v>19935</v>
      </c>
      <c r="C9" s="993">
        <v>70</v>
      </c>
      <c r="D9" s="993">
        <v>18431</v>
      </c>
      <c r="E9" s="684">
        <v>61984</v>
      </c>
      <c r="F9" s="688">
        <v>44406</v>
      </c>
    </row>
    <row r="10" spans="1:6" ht="45.75" customHeight="1" x14ac:dyDescent="0.2">
      <c r="A10" s="464" t="s">
        <v>417</v>
      </c>
      <c r="B10" s="686">
        <v>11622</v>
      </c>
      <c r="C10" s="993">
        <v>7572</v>
      </c>
      <c r="D10" s="993">
        <v>8989</v>
      </c>
      <c r="E10" s="684">
        <f t="shared" si="0"/>
        <v>16561</v>
      </c>
      <c r="F10" s="688">
        <v>4604</v>
      </c>
    </row>
    <row r="11" spans="1:6" x14ac:dyDescent="0.2">
      <c r="A11" s="464" t="s">
        <v>29</v>
      </c>
      <c r="B11" s="686">
        <v>0</v>
      </c>
      <c r="C11" s="993"/>
      <c r="D11" s="993"/>
      <c r="E11" s="684">
        <f t="shared" si="0"/>
        <v>0</v>
      </c>
      <c r="F11" s="688"/>
    </row>
    <row r="12" spans="1:6" x14ac:dyDescent="0.2">
      <c r="A12" s="464" t="s">
        <v>30</v>
      </c>
      <c r="B12" s="686">
        <v>0</v>
      </c>
      <c r="C12" s="993"/>
      <c r="D12" s="993"/>
      <c r="E12" s="684">
        <f t="shared" si="0"/>
        <v>0</v>
      </c>
      <c r="F12" s="688"/>
    </row>
    <row r="13" spans="1:6" x14ac:dyDescent="0.2">
      <c r="A13" s="466" t="s">
        <v>747</v>
      </c>
      <c r="B13" s="686">
        <v>1000</v>
      </c>
      <c r="C13" s="993">
        <v>55958</v>
      </c>
      <c r="D13" s="993"/>
      <c r="E13" s="684">
        <f t="shared" si="0"/>
        <v>55958</v>
      </c>
      <c r="F13" s="688">
        <v>55815</v>
      </c>
    </row>
    <row r="14" spans="1:6" x14ac:dyDescent="0.2">
      <c r="A14" s="466" t="s">
        <v>662</v>
      </c>
      <c r="B14" s="686">
        <v>0</v>
      </c>
      <c r="C14" s="993"/>
      <c r="D14" s="993"/>
      <c r="E14" s="684">
        <f t="shared" si="0"/>
        <v>0</v>
      </c>
      <c r="F14" s="688"/>
    </row>
    <row r="15" spans="1:6" x14ac:dyDescent="0.2">
      <c r="A15" s="466" t="s">
        <v>663</v>
      </c>
      <c r="B15" s="686">
        <v>0</v>
      </c>
      <c r="C15" s="993"/>
      <c r="D15" s="993"/>
      <c r="E15" s="684">
        <f t="shared" si="0"/>
        <v>0</v>
      </c>
      <c r="F15" s="688"/>
    </row>
    <row r="16" spans="1:6" ht="25.5" x14ac:dyDescent="0.2">
      <c r="A16" s="466" t="s">
        <v>664</v>
      </c>
      <c r="B16" s="686"/>
      <c r="C16" s="993"/>
      <c r="D16" s="993"/>
      <c r="E16" s="684">
        <f t="shared" si="0"/>
        <v>0</v>
      </c>
      <c r="F16" s="688"/>
    </row>
    <row r="17" spans="1:8" ht="25.5" x14ac:dyDescent="0.2">
      <c r="A17" s="672" t="s">
        <v>26</v>
      </c>
      <c r="B17" s="689"/>
      <c r="C17" s="994"/>
      <c r="D17" s="994"/>
      <c r="E17" s="991">
        <f t="shared" si="0"/>
        <v>0</v>
      </c>
      <c r="F17" s="691">
        <v>0</v>
      </c>
    </row>
    <row r="18" spans="1:8" x14ac:dyDescent="0.2">
      <c r="A18" s="468" t="s">
        <v>16</v>
      </c>
      <c r="B18" s="686">
        <v>347904</v>
      </c>
      <c r="C18" s="993">
        <v>70484</v>
      </c>
      <c r="D18" s="993"/>
      <c r="E18" s="990">
        <f t="shared" si="0"/>
        <v>70484</v>
      </c>
      <c r="F18" s="688"/>
    </row>
    <row r="19" spans="1:8" x14ac:dyDescent="0.2">
      <c r="A19" s="468" t="s">
        <v>17</v>
      </c>
      <c r="B19" s="686">
        <v>140000</v>
      </c>
      <c r="C19" s="993">
        <v>161045</v>
      </c>
      <c r="D19" s="993"/>
      <c r="E19" s="990">
        <f t="shared" si="0"/>
        <v>161045</v>
      </c>
      <c r="F19" s="688"/>
    </row>
    <row r="20" spans="1:8" x14ac:dyDescent="0.2">
      <c r="A20" s="469" t="s">
        <v>6</v>
      </c>
      <c r="B20" s="692">
        <f>SUM(B6:B19)</f>
        <v>605132</v>
      </c>
      <c r="C20" s="995">
        <f>SUM(C6:C19)</f>
        <v>376674</v>
      </c>
      <c r="D20" s="995">
        <f>SUM(D6:D19)</f>
        <v>37562</v>
      </c>
      <c r="E20" s="992">
        <f t="shared" si="0"/>
        <v>414236</v>
      </c>
      <c r="F20" s="693">
        <f>F6+F7+F8+F9+F10+F11+F12+F13+F14+F15+F16+F17+F18+F19</f>
        <v>138124</v>
      </c>
    </row>
    <row r="21" spans="1:8" x14ac:dyDescent="0.2">
      <c r="A21" s="464" t="s">
        <v>513</v>
      </c>
      <c r="B21" s="686">
        <v>775</v>
      </c>
      <c r="C21" s="993">
        <v>910</v>
      </c>
      <c r="D21" s="993">
        <v>426</v>
      </c>
      <c r="E21" s="990">
        <f t="shared" si="0"/>
        <v>1336</v>
      </c>
      <c r="F21" s="688">
        <v>521</v>
      </c>
    </row>
    <row r="22" spans="1:8" x14ac:dyDescent="0.2">
      <c r="A22" s="805" t="s">
        <v>765</v>
      </c>
      <c r="B22" s="776"/>
      <c r="C22" s="993"/>
      <c r="D22" s="993"/>
      <c r="E22" s="990">
        <f t="shared" si="0"/>
        <v>0</v>
      </c>
      <c r="F22" s="806"/>
    </row>
    <row r="23" spans="1:8" x14ac:dyDescent="0.2">
      <c r="A23" s="464" t="s">
        <v>19</v>
      </c>
      <c r="B23" s="686">
        <v>0</v>
      </c>
      <c r="C23" s="993"/>
      <c r="D23" s="993"/>
      <c r="E23" s="990">
        <f t="shared" si="0"/>
        <v>0</v>
      </c>
      <c r="F23" s="688"/>
    </row>
    <row r="24" spans="1:8" x14ac:dyDescent="0.2">
      <c r="A24" s="464" t="s">
        <v>21</v>
      </c>
      <c r="B24" s="686">
        <v>0</v>
      </c>
      <c r="C24" s="993"/>
      <c r="D24" s="993"/>
      <c r="E24" s="990">
        <f t="shared" si="0"/>
        <v>0</v>
      </c>
      <c r="F24" s="688"/>
    </row>
    <row r="25" spans="1:8" ht="38.25" x14ac:dyDescent="0.2">
      <c r="A25" s="466" t="s">
        <v>681</v>
      </c>
      <c r="B25" s="686">
        <v>0</v>
      </c>
      <c r="C25" s="993"/>
      <c r="D25" s="993"/>
      <c r="E25" s="990">
        <f t="shared" si="0"/>
        <v>0</v>
      </c>
      <c r="F25" s="688">
        <v>0</v>
      </c>
    </row>
    <row r="26" spans="1:8" x14ac:dyDescent="0.2">
      <c r="A26" s="466" t="s">
        <v>747</v>
      </c>
      <c r="B26" s="686"/>
      <c r="C26" s="993"/>
      <c r="D26" s="993"/>
      <c r="E26" s="990">
        <f t="shared" si="0"/>
        <v>0</v>
      </c>
      <c r="F26" s="688"/>
    </row>
    <row r="27" spans="1:8" x14ac:dyDescent="0.2">
      <c r="A27" s="466" t="s">
        <v>665</v>
      </c>
      <c r="B27" s="686">
        <v>0</v>
      </c>
      <c r="C27" s="993"/>
      <c r="D27" s="993"/>
      <c r="E27" s="990">
        <f t="shared" si="0"/>
        <v>0</v>
      </c>
      <c r="F27" s="688"/>
    </row>
    <row r="28" spans="1:8" x14ac:dyDescent="0.2">
      <c r="A28" s="466" t="s">
        <v>666</v>
      </c>
      <c r="B28" s="686">
        <v>0</v>
      </c>
      <c r="C28" s="993"/>
      <c r="D28" s="993"/>
      <c r="E28" s="990">
        <f t="shared" si="0"/>
        <v>0</v>
      </c>
      <c r="F28" s="688"/>
    </row>
    <row r="29" spans="1:8" x14ac:dyDescent="0.2">
      <c r="A29" s="466" t="s">
        <v>667</v>
      </c>
      <c r="B29" s="686">
        <v>1125596</v>
      </c>
      <c r="C29" s="993"/>
      <c r="D29" s="993">
        <v>365996</v>
      </c>
      <c r="E29" s="990">
        <f t="shared" si="0"/>
        <v>365996</v>
      </c>
      <c r="F29" s="688">
        <v>0</v>
      </c>
      <c r="H29">
        <v>0</v>
      </c>
    </row>
    <row r="30" spans="1:8" x14ac:dyDescent="0.2">
      <c r="A30" s="468" t="s">
        <v>33</v>
      </c>
      <c r="B30" s="686"/>
      <c r="C30" s="993"/>
      <c r="D30" s="993"/>
      <c r="E30" s="990">
        <f t="shared" si="0"/>
        <v>0</v>
      </c>
      <c r="F30" s="688">
        <v>0</v>
      </c>
    </row>
    <row r="31" spans="1:8" x14ac:dyDescent="0.2">
      <c r="A31" s="468" t="s">
        <v>32</v>
      </c>
      <c r="B31" s="686"/>
      <c r="C31" s="993"/>
      <c r="D31" s="993"/>
      <c r="E31" s="990">
        <f t="shared" si="0"/>
        <v>0</v>
      </c>
      <c r="F31" s="688"/>
    </row>
    <row r="32" spans="1:8" x14ac:dyDescent="0.2">
      <c r="A32" s="468" t="s">
        <v>726</v>
      </c>
      <c r="B32" s="686"/>
      <c r="C32" s="993"/>
      <c r="D32" s="993"/>
      <c r="E32" s="990">
        <f t="shared" si="0"/>
        <v>0</v>
      </c>
      <c r="F32" s="688"/>
    </row>
    <row r="33" spans="1:6" x14ac:dyDescent="0.2">
      <c r="A33" s="468" t="s">
        <v>541</v>
      </c>
      <c r="B33" s="686">
        <v>1000000</v>
      </c>
      <c r="C33" s="993">
        <v>1200000</v>
      </c>
      <c r="D33" s="993"/>
      <c r="E33" s="990">
        <f t="shared" si="0"/>
        <v>1200000</v>
      </c>
      <c r="F33" s="694">
        <v>3600000</v>
      </c>
    </row>
    <row r="34" spans="1:6" ht="25.5" x14ac:dyDescent="0.2">
      <c r="A34" s="673" t="s">
        <v>25</v>
      </c>
      <c r="B34" s="689"/>
      <c r="C34" s="994"/>
      <c r="D34" s="994"/>
      <c r="E34" s="991"/>
      <c r="F34" s="691"/>
    </row>
    <row r="35" spans="1:6" x14ac:dyDescent="0.2">
      <c r="A35" s="470" t="s">
        <v>22</v>
      </c>
      <c r="B35" s="686"/>
      <c r="C35" s="993"/>
      <c r="D35" s="993"/>
      <c r="E35" s="990">
        <f>C35+D35</f>
        <v>0</v>
      </c>
      <c r="F35" s="688"/>
    </row>
    <row r="36" spans="1:6" x14ac:dyDescent="0.2">
      <c r="A36" s="470" t="s">
        <v>24</v>
      </c>
      <c r="B36" s="686"/>
      <c r="C36" s="993"/>
      <c r="D36" s="993"/>
      <c r="E36" s="990">
        <f>C36+D3</f>
        <v>0</v>
      </c>
      <c r="F36" s="688"/>
    </row>
    <row r="37" spans="1:6" x14ac:dyDescent="0.2">
      <c r="A37" s="470" t="s">
        <v>23</v>
      </c>
      <c r="B37" s="686"/>
      <c r="C37" s="993"/>
      <c r="D37" s="993"/>
      <c r="E37" s="990">
        <f>C37+D37</f>
        <v>0</v>
      </c>
      <c r="F37" s="688"/>
    </row>
    <row r="38" spans="1:6" ht="31.5" customHeight="1" thickBot="1" x14ac:dyDescent="0.25">
      <c r="A38" s="996" t="s">
        <v>7</v>
      </c>
      <c r="B38" s="997">
        <f t="shared" ref="B38:E38" si="1">SUM(B21:B37)</f>
        <v>2126371</v>
      </c>
      <c r="C38" s="997">
        <f t="shared" si="1"/>
        <v>1200910</v>
      </c>
      <c r="D38" s="997">
        <f t="shared" si="1"/>
        <v>366422</v>
      </c>
      <c r="E38" s="998">
        <f t="shared" si="1"/>
        <v>1567332</v>
      </c>
      <c r="F38" s="999">
        <f>F21+F23+F24+F25+F26+F27+F28+F29+F30+F31+F32+F33+F34+F35+F36+F37</f>
        <v>3600521</v>
      </c>
    </row>
    <row r="39" spans="1:6" ht="31.5" customHeight="1" thickBot="1" x14ac:dyDescent="0.25">
      <c r="A39" s="1000" t="s">
        <v>18</v>
      </c>
      <c r="B39" s="1001">
        <f t="shared" ref="B39:F39" si="2">B20+B38</f>
        <v>2731503</v>
      </c>
      <c r="C39" s="1001">
        <f t="shared" si="2"/>
        <v>1577584</v>
      </c>
      <c r="D39" s="1001">
        <f t="shared" si="2"/>
        <v>403984</v>
      </c>
      <c r="E39" s="1002">
        <f t="shared" si="2"/>
        <v>1981568</v>
      </c>
      <c r="F39" s="1001">
        <f t="shared" si="2"/>
        <v>3738645</v>
      </c>
    </row>
    <row r="40" spans="1:6" x14ac:dyDescent="0.2">
      <c r="A40" s="533"/>
      <c r="B40" s="54"/>
      <c r="C40" s="54"/>
      <c r="D40" s="54"/>
      <c r="E40" s="54"/>
      <c r="F40" s="54"/>
    </row>
    <row r="41" spans="1:6" ht="13.5" thickBot="1" x14ac:dyDescent="0.25">
      <c r="A41" s="54"/>
      <c r="B41" s="54"/>
      <c r="C41" s="54"/>
      <c r="D41" s="54"/>
      <c r="E41" s="54"/>
      <c r="F41" s="54"/>
    </row>
    <row r="42" spans="1:6" ht="25.5" customHeight="1" x14ac:dyDescent="0.2">
      <c r="A42" s="1115" t="s">
        <v>140</v>
      </c>
      <c r="B42" s="1113" t="s">
        <v>873</v>
      </c>
      <c r="C42" s="1113" t="s">
        <v>800</v>
      </c>
      <c r="D42" s="1113" t="s">
        <v>874</v>
      </c>
      <c r="E42" s="1120" t="s">
        <v>875</v>
      </c>
      <c r="F42" s="1113" t="s">
        <v>861</v>
      </c>
    </row>
    <row r="43" spans="1:6" ht="13.5" thickBot="1" x14ac:dyDescent="0.25">
      <c r="A43" s="1116"/>
      <c r="B43" s="1114"/>
      <c r="C43" s="1114"/>
      <c r="D43" s="1114"/>
      <c r="E43" s="1121"/>
      <c r="F43" s="1114"/>
    </row>
    <row r="44" spans="1:6" x14ac:dyDescent="0.2">
      <c r="A44" s="674" t="s">
        <v>34</v>
      </c>
      <c r="B44" s="683"/>
      <c r="C44" s="683"/>
      <c r="D44" s="683"/>
      <c r="E44" s="807">
        <f t="shared" ref="E44:E57" si="3">C44+D44</f>
        <v>0</v>
      </c>
      <c r="F44" s="684"/>
    </row>
    <row r="45" spans="1:6" x14ac:dyDescent="0.2">
      <c r="A45" s="466" t="s">
        <v>727</v>
      </c>
      <c r="B45" s="686"/>
      <c r="C45" s="686"/>
      <c r="D45" s="686"/>
      <c r="E45" s="776">
        <f t="shared" si="3"/>
        <v>0</v>
      </c>
      <c r="F45" s="687"/>
    </row>
    <row r="46" spans="1:6" x14ac:dyDescent="0.2">
      <c r="A46" s="466" t="s">
        <v>728</v>
      </c>
      <c r="B46" s="686">
        <v>37800</v>
      </c>
      <c r="C46" s="686">
        <v>43483</v>
      </c>
      <c r="D46" s="686"/>
      <c r="E46" s="776">
        <f t="shared" si="3"/>
        <v>43483</v>
      </c>
      <c r="F46" s="687">
        <v>44874</v>
      </c>
    </row>
    <row r="47" spans="1:6" x14ac:dyDescent="0.2">
      <c r="A47" s="466" t="s">
        <v>35</v>
      </c>
      <c r="B47" s="686">
        <v>116838</v>
      </c>
      <c r="C47" s="686">
        <v>120321</v>
      </c>
      <c r="D47" s="686"/>
      <c r="E47" s="776">
        <f t="shared" si="3"/>
        <v>120321</v>
      </c>
      <c r="F47" s="687">
        <v>36515</v>
      </c>
    </row>
    <row r="48" spans="1:6" x14ac:dyDescent="0.2">
      <c r="A48" s="466" t="s">
        <v>2</v>
      </c>
      <c r="B48" s="686">
        <v>0</v>
      </c>
      <c r="C48" s="686"/>
      <c r="D48" s="686"/>
      <c r="E48" s="776">
        <f t="shared" si="3"/>
        <v>0</v>
      </c>
      <c r="F48" s="687"/>
    </row>
    <row r="49" spans="1:6" x14ac:dyDescent="0.2">
      <c r="A49" s="466" t="s">
        <v>766</v>
      </c>
      <c r="B49" s="686"/>
      <c r="C49" s="686"/>
      <c r="D49" s="686"/>
      <c r="E49" s="776">
        <f t="shared" si="3"/>
        <v>0</v>
      </c>
      <c r="F49" s="687"/>
    </row>
    <row r="50" spans="1:6" x14ac:dyDescent="0.2">
      <c r="A50" s="466" t="s">
        <v>156</v>
      </c>
      <c r="B50" s="686"/>
      <c r="C50" s="686"/>
      <c r="D50" s="686"/>
      <c r="E50" s="776">
        <f t="shared" si="3"/>
        <v>0</v>
      </c>
      <c r="F50" s="687"/>
    </row>
    <row r="51" spans="1:6" x14ac:dyDescent="0.2">
      <c r="A51" s="466" t="s">
        <v>514</v>
      </c>
      <c r="B51" s="686">
        <v>140000</v>
      </c>
      <c r="C51" s="686">
        <v>161045</v>
      </c>
      <c r="D51" s="686"/>
      <c r="E51" s="776">
        <f t="shared" si="3"/>
        <v>161045</v>
      </c>
      <c r="F51" s="687">
        <v>166201</v>
      </c>
    </row>
    <row r="52" spans="1:6" x14ac:dyDescent="0.2">
      <c r="A52" s="675" t="s">
        <v>9</v>
      </c>
      <c r="B52" s="686">
        <v>0</v>
      </c>
      <c r="C52" s="686"/>
      <c r="D52" s="686"/>
      <c r="E52" s="776">
        <f t="shared" si="3"/>
        <v>0</v>
      </c>
      <c r="F52" s="687">
        <v>0</v>
      </c>
    </row>
    <row r="53" spans="1:6" x14ac:dyDescent="0.2">
      <c r="A53" s="675" t="s">
        <v>10</v>
      </c>
      <c r="B53" s="686">
        <v>0</v>
      </c>
      <c r="C53" s="686"/>
      <c r="D53" s="686"/>
      <c r="E53" s="776">
        <f t="shared" si="3"/>
        <v>0</v>
      </c>
      <c r="F53" s="687"/>
    </row>
    <row r="54" spans="1:6" x14ac:dyDescent="0.2">
      <c r="A54" s="675" t="s">
        <v>769</v>
      </c>
      <c r="B54" s="686">
        <v>0</v>
      </c>
      <c r="C54" s="686"/>
      <c r="D54" s="686"/>
      <c r="E54" s="776">
        <f t="shared" si="3"/>
        <v>0</v>
      </c>
      <c r="F54" s="687">
        <v>84971</v>
      </c>
    </row>
    <row r="55" spans="1:6" ht="38.25" x14ac:dyDescent="0.2">
      <c r="A55" s="466" t="s">
        <v>0</v>
      </c>
      <c r="B55" s="686">
        <v>0</v>
      </c>
      <c r="C55" s="686"/>
      <c r="D55" s="686"/>
      <c r="E55" s="776">
        <f t="shared" si="3"/>
        <v>0</v>
      </c>
      <c r="F55" s="687"/>
    </row>
    <row r="56" spans="1:6" x14ac:dyDescent="0.2">
      <c r="A56" s="815" t="s">
        <v>770</v>
      </c>
      <c r="B56" s="776"/>
      <c r="C56" s="776"/>
      <c r="D56" s="776"/>
      <c r="E56" s="776">
        <f t="shared" si="3"/>
        <v>0</v>
      </c>
      <c r="F56" s="777"/>
    </row>
    <row r="57" spans="1:6" ht="25.5" x14ac:dyDescent="0.2">
      <c r="A57" s="464" t="s">
        <v>143</v>
      </c>
      <c r="B57" s="686">
        <v>0</v>
      </c>
      <c r="C57" s="686"/>
      <c r="D57" s="686"/>
      <c r="E57" s="776">
        <f t="shared" si="3"/>
        <v>0</v>
      </c>
      <c r="F57" s="687"/>
    </row>
    <row r="58" spans="1:6" x14ac:dyDescent="0.2">
      <c r="A58" s="676" t="s">
        <v>39</v>
      </c>
      <c r="B58" s="695">
        <f>SUM(B44:B57)</f>
        <v>294638</v>
      </c>
      <c r="C58" s="695">
        <f>SUM(C44:C57)</f>
        <v>324849</v>
      </c>
      <c r="D58" s="695">
        <f>SUM(D44:D57)</f>
        <v>0</v>
      </c>
      <c r="E58" s="808">
        <f>SUM(E43:E57)</f>
        <v>324849</v>
      </c>
      <c r="F58" s="719">
        <f>SUM(F44:F57)</f>
        <v>332561</v>
      </c>
    </row>
    <row r="59" spans="1:6" x14ac:dyDescent="0.2">
      <c r="A59" s="677" t="s">
        <v>42</v>
      </c>
      <c r="B59" s="696"/>
      <c r="C59" s="696"/>
      <c r="D59" s="696"/>
      <c r="E59" s="809"/>
      <c r="F59" s="720"/>
    </row>
    <row r="60" spans="1:6" x14ac:dyDescent="0.2">
      <c r="A60" s="678" t="s">
        <v>43</v>
      </c>
      <c r="B60" s="697"/>
      <c r="C60" s="697"/>
      <c r="D60" s="697"/>
      <c r="E60" s="810"/>
      <c r="F60" s="721"/>
    </row>
    <row r="61" spans="1:6" x14ac:dyDescent="0.2">
      <c r="A61" s="679" t="s">
        <v>12</v>
      </c>
      <c r="B61" s="689"/>
      <c r="C61" s="689"/>
      <c r="D61" s="689"/>
      <c r="E61" s="811"/>
      <c r="F61" s="690"/>
    </row>
    <row r="62" spans="1:6" x14ac:dyDescent="0.2">
      <c r="A62" s="466" t="s">
        <v>37</v>
      </c>
      <c r="B62" s="686">
        <v>33269</v>
      </c>
      <c r="C62" s="686"/>
      <c r="D62" s="686">
        <v>37562</v>
      </c>
      <c r="E62" s="776">
        <f>C62+D62</f>
        <v>37562</v>
      </c>
      <c r="F62" s="687">
        <v>37562</v>
      </c>
    </row>
    <row r="63" spans="1:6" x14ac:dyDescent="0.2">
      <c r="A63" s="469" t="s">
        <v>6</v>
      </c>
      <c r="B63" s="692">
        <f t="shared" ref="B63:F63" si="4">B58+B59+B60+B61+B62</f>
        <v>327907</v>
      </c>
      <c r="C63" s="692">
        <f t="shared" si="4"/>
        <v>324849</v>
      </c>
      <c r="D63" s="692">
        <f t="shared" si="4"/>
        <v>37562</v>
      </c>
      <c r="E63" s="812">
        <f t="shared" si="4"/>
        <v>362411</v>
      </c>
      <c r="F63" s="722">
        <f t="shared" si="4"/>
        <v>370123</v>
      </c>
    </row>
    <row r="64" spans="1:6" x14ac:dyDescent="0.2">
      <c r="A64" s="466" t="s">
        <v>123</v>
      </c>
      <c r="B64" s="686">
        <v>0</v>
      </c>
      <c r="C64" s="686"/>
      <c r="D64" s="686"/>
      <c r="E64" s="776">
        <f t="shared" ref="E64:E72" si="5">C64+D64</f>
        <v>0</v>
      </c>
      <c r="F64" s="687">
        <f>D64</f>
        <v>0</v>
      </c>
    </row>
    <row r="65" spans="1:6" x14ac:dyDescent="0.2">
      <c r="A65" s="466" t="s">
        <v>130</v>
      </c>
      <c r="B65" s="686">
        <v>277975</v>
      </c>
      <c r="C65" s="686">
        <v>252735</v>
      </c>
      <c r="D65" s="686"/>
      <c r="E65" s="776">
        <f t="shared" si="5"/>
        <v>252735</v>
      </c>
      <c r="F65" s="687">
        <v>24881</v>
      </c>
    </row>
    <row r="66" spans="1:6" x14ac:dyDescent="0.2">
      <c r="A66" s="466" t="s">
        <v>15</v>
      </c>
      <c r="B66" s="686"/>
      <c r="C66" s="686"/>
      <c r="D66" s="686"/>
      <c r="E66" s="776">
        <f t="shared" si="5"/>
        <v>0</v>
      </c>
      <c r="F66" s="687"/>
    </row>
    <row r="67" spans="1:6" x14ac:dyDescent="0.2">
      <c r="A67" s="466" t="s">
        <v>94</v>
      </c>
      <c r="B67" s="686"/>
      <c r="C67" s="686"/>
      <c r="D67" s="686"/>
      <c r="E67" s="776">
        <f t="shared" si="5"/>
        <v>0</v>
      </c>
      <c r="F67" s="687"/>
    </row>
    <row r="68" spans="1:6" ht="25.5" x14ac:dyDescent="0.2">
      <c r="A68" s="466" t="s">
        <v>3</v>
      </c>
      <c r="B68" s="686">
        <v>0</v>
      </c>
      <c r="C68" s="686"/>
      <c r="D68" s="686"/>
      <c r="E68" s="776">
        <f t="shared" si="5"/>
        <v>0</v>
      </c>
      <c r="F68" s="687"/>
    </row>
    <row r="69" spans="1:6" ht="25.5" x14ac:dyDescent="0.2">
      <c r="A69" s="466" t="s">
        <v>406</v>
      </c>
      <c r="B69" s="686"/>
      <c r="C69" s="686"/>
      <c r="D69" s="686"/>
      <c r="E69" s="776">
        <f t="shared" si="5"/>
        <v>0</v>
      </c>
      <c r="F69" s="687"/>
    </row>
    <row r="70" spans="1:6" ht="25.5" x14ac:dyDescent="0.2">
      <c r="A70" s="466" t="s">
        <v>8</v>
      </c>
      <c r="B70" s="686"/>
      <c r="C70" s="686"/>
      <c r="D70" s="686"/>
      <c r="E70" s="776">
        <f t="shared" si="5"/>
        <v>0</v>
      </c>
      <c r="F70" s="687"/>
    </row>
    <row r="71" spans="1:6" x14ac:dyDescent="0.2">
      <c r="A71" s="466" t="s">
        <v>1</v>
      </c>
      <c r="B71" s="686"/>
      <c r="C71" s="686"/>
      <c r="D71" s="686"/>
      <c r="E71" s="776">
        <f t="shared" si="5"/>
        <v>0</v>
      </c>
      <c r="F71" s="687"/>
    </row>
    <row r="72" spans="1:6" x14ac:dyDescent="0.2">
      <c r="A72" s="680" t="s">
        <v>5</v>
      </c>
      <c r="B72" s="686"/>
      <c r="C72" s="686"/>
      <c r="D72" s="686"/>
      <c r="E72" s="776">
        <f t="shared" si="5"/>
        <v>0</v>
      </c>
      <c r="F72" s="687"/>
    </row>
    <row r="73" spans="1:6" x14ac:dyDescent="0.2">
      <c r="A73" s="676" t="s">
        <v>38</v>
      </c>
      <c r="B73" s="695">
        <f>B64+B65+B68+B72</f>
        <v>277975</v>
      </c>
      <c r="C73" s="695">
        <f t="shared" ref="C73:F73" si="6">C64+C65+C68+C72</f>
        <v>252735</v>
      </c>
      <c r="D73" s="695">
        <f t="shared" si="6"/>
        <v>0</v>
      </c>
      <c r="E73" s="808">
        <f>E64+E65+E68+E72</f>
        <v>252735</v>
      </c>
      <c r="F73" s="719">
        <f t="shared" si="6"/>
        <v>24881</v>
      </c>
    </row>
    <row r="74" spans="1:6" x14ac:dyDescent="0.2">
      <c r="A74" s="677" t="s">
        <v>44</v>
      </c>
      <c r="B74" s="696"/>
      <c r="C74" s="696"/>
      <c r="D74" s="696"/>
      <c r="E74" s="809"/>
      <c r="F74" s="720"/>
    </row>
    <row r="75" spans="1:6" x14ac:dyDescent="0.2">
      <c r="A75" s="678" t="s">
        <v>45</v>
      </c>
      <c r="B75" s="697"/>
      <c r="C75" s="697"/>
      <c r="D75" s="697"/>
      <c r="E75" s="810"/>
      <c r="F75" s="721"/>
    </row>
    <row r="76" spans="1:6" x14ac:dyDescent="0.2">
      <c r="A76" s="679" t="s">
        <v>13</v>
      </c>
      <c r="B76" s="689"/>
      <c r="C76" s="689"/>
      <c r="D76" s="689"/>
      <c r="E76" s="811"/>
      <c r="F76" s="690"/>
    </row>
    <row r="77" spans="1:6" x14ac:dyDescent="0.2">
      <c r="A77" s="466" t="s">
        <v>41</v>
      </c>
      <c r="B77" s="686">
        <v>1125621</v>
      </c>
      <c r="C77" s="686"/>
      <c r="D77" s="686">
        <v>366422</v>
      </c>
      <c r="E77" s="776">
        <f>C77+D77</f>
        <v>366422</v>
      </c>
      <c r="F77" s="687">
        <v>366422</v>
      </c>
    </row>
    <row r="78" spans="1:6" x14ac:dyDescent="0.2">
      <c r="A78" s="466" t="s">
        <v>515</v>
      </c>
      <c r="B78" s="686">
        <v>1000000</v>
      </c>
      <c r="C78" s="686">
        <v>1000000</v>
      </c>
      <c r="D78" s="686"/>
      <c r="E78" s="776">
        <f>C78+D78</f>
        <v>1000000</v>
      </c>
      <c r="F78" s="687">
        <v>4600000</v>
      </c>
    </row>
    <row r="79" spans="1:6" x14ac:dyDescent="0.2">
      <c r="A79" s="681" t="s">
        <v>729</v>
      </c>
      <c r="B79" s="686"/>
      <c r="C79" s="686"/>
      <c r="D79" s="686"/>
      <c r="E79" s="776">
        <f>C79+D79</f>
        <v>0</v>
      </c>
      <c r="F79" s="687"/>
    </row>
    <row r="80" spans="1:6" x14ac:dyDescent="0.2">
      <c r="A80" s="681" t="s">
        <v>14</v>
      </c>
      <c r="B80" s="686"/>
      <c r="C80" s="686"/>
      <c r="D80" s="686"/>
      <c r="E80" s="776">
        <f>C80+D80</f>
        <v>0</v>
      </c>
      <c r="F80" s="687"/>
    </row>
    <row r="81" spans="1:6" x14ac:dyDescent="0.2">
      <c r="A81" s="681" t="s">
        <v>40</v>
      </c>
      <c r="B81" s="686"/>
      <c r="C81" s="686"/>
      <c r="D81" s="686"/>
      <c r="E81" s="776">
        <f>C81+D81</f>
        <v>0</v>
      </c>
      <c r="F81" s="687"/>
    </row>
    <row r="82" spans="1:6" ht="13.5" thickBot="1" x14ac:dyDescent="0.25">
      <c r="A82" s="996" t="s">
        <v>7</v>
      </c>
      <c r="B82" s="1003">
        <f t="shared" ref="B82:F82" si="7">SUM(B73:B81)</f>
        <v>2403596</v>
      </c>
      <c r="C82" s="1003">
        <f t="shared" si="7"/>
        <v>1252735</v>
      </c>
      <c r="D82" s="1003">
        <f t="shared" si="7"/>
        <v>366422</v>
      </c>
      <c r="E82" s="1003">
        <f t="shared" si="7"/>
        <v>1619157</v>
      </c>
      <c r="F82" s="1004">
        <f t="shared" si="7"/>
        <v>4991303</v>
      </c>
    </row>
    <row r="83" spans="1:6" ht="27" customHeight="1" thickBot="1" x14ac:dyDescent="0.25">
      <c r="A83" s="1005" t="s">
        <v>46</v>
      </c>
      <c r="B83" s="1006">
        <f t="shared" ref="B83:F83" si="8">SUM(B63,B82)</f>
        <v>2731503</v>
      </c>
      <c r="C83" s="1006">
        <f t="shared" si="8"/>
        <v>1577584</v>
      </c>
      <c r="D83" s="1006">
        <f t="shared" si="8"/>
        <v>403984</v>
      </c>
      <c r="E83" s="1006">
        <f t="shared" si="8"/>
        <v>1981568</v>
      </c>
      <c r="F83" s="1007">
        <f t="shared" si="8"/>
        <v>5361426</v>
      </c>
    </row>
    <row r="84" spans="1:6" x14ac:dyDescent="0.2">
      <c r="A84" s="54"/>
      <c r="B84" s="54"/>
      <c r="C84" s="54"/>
      <c r="D84" s="54"/>
      <c r="E84" s="54"/>
      <c r="F84" s="54"/>
    </row>
    <row r="85" spans="1:6" ht="15" x14ac:dyDescent="0.3">
      <c r="A85" s="2"/>
      <c r="B85" s="2"/>
      <c r="C85" s="2"/>
      <c r="D85" s="2"/>
      <c r="E85" s="2"/>
    </row>
    <row r="86" spans="1:6" ht="15" x14ac:dyDescent="0.3">
      <c r="A86" s="2"/>
      <c r="B86" s="2"/>
      <c r="C86" s="2"/>
      <c r="D86" s="2"/>
      <c r="E86" s="2"/>
    </row>
    <row r="87" spans="1:6" ht="15" x14ac:dyDescent="0.3">
      <c r="A87" s="2"/>
      <c r="B87" s="2"/>
      <c r="C87" s="2"/>
      <c r="D87" s="2"/>
      <c r="E87" s="2"/>
    </row>
    <row r="88" spans="1:6" ht="15" x14ac:dyDescent="0.3">
      <c r="A88" s="2"/>
      <c r="B88" s="2"/>
      <c r="C88" s="2"/>
      <c r="D88" s="2"/>
      <c r="E88" s="2"/>
    </row>
    <row r="89" spans="1:6" ht="15" x14ac:dyDescent="0.3">
      <c r="A89" s="2"/>
      <c r="B89" s="2"/>
      <c r="C89" s="2"/>
      <c r="D89" s="2"/>
      <c r="E89" s="2"/>
    </row>
    <row r="90" spans="1:6" ht="15" x14ac:dyDescent="0.3">
      <c r="A90" s="2"/>
      <c r="B90" s="2"/>
      <c r="C90" s="2"/>
      <c r="D90" s="2"/>
      <c r="E90" s="2"/>
    </row>
    <row r="91" spans="1:6" ht="15" x14ac:dyDescent="0.3">
      <c r="A91" s="2"/>
      <c r="B91" s="2"/>
      <c r="C91" s="2"/>
      <c r="D91" s="2"/>
      <c r="E91" s="2"/>
    </row>
    <row r="92" spans="1:6" ht="15" x14ac:dyDescent="0.3">
      <c r="A92" s="2"/>
      <c r="B92" s="2"/>
      <c r="C92" s="2"/>
      <c r="D92" s="2"/>
      <c r="E92" s="2"/>
    </row>
    <row r="93" spans="1:6" ht="15" x14ac:dyDescent="0.3">
      <c r="A93" s="2"/>
      <c r="B93" s="2"/>
      <c r="C93" s="2"/>
      <c r="D93" s="2"/>
      <c r="E93" s="2"/>
    </row>
    <row r="94" spans="1:6" ht="15" x14ac:dyDescent="0.3">
      <c r="A94" s="2"/>
      <c r="B94" s="2"/>
      <c r="C94" s="2"/>
      <c r="D94" s="2"/>
      <c r="E94" s="2"/>
    </row>
    <row r="95" spans="1:6" ht="15" x14ac:dyDescent="0.3">
      <c r="A95" s="2"/>
      <c r="B95" s="2"/>
      <c r="C95" s="2"/>
      <c r="D95" s="2"/>
      <c r="E95" s="2"/>
    </row>
    <row r="96" spans="1:6" ht="15" x14ac:dyDescent="0.3">
      <c r="A96" s="2"/>
      <c r="B96" s="2"/>
      <c r="C96" s="2"/>
      <c r="D96" s="2"/>
      <c r="E96" s="2"/>
    </row>
    <row r="97" spans="1:5" ht="15" x14ac:dyDescent="0.3">
      <c r="A97" s="2"/>
      <c r="B97" s="2"/>
      <c r="C97" s="2"/>
      <c r="D97" s="2"/>
      <c r="E97" s="2"/>
    </row>
    <row r="98" spans="1:5" ht="15" x14ac:dyDescent="0.3">
      <c r="A98" s="2"/>
      <c r="B98" s="2"/>
      <c r="C98" s="2"/>
      <c r="D98" s="2"/>
      <c r="E98" s="2"/>
    </row>
    <row r="99" spans="1:5" ht="15" x14ac:dyDescent="0.3">
      <c r="A99" s="2"/>
      <c r="B99" s="2"/>
      <c r="C99" s="2"/>
      <c r="D99" s="2"/>
      <c r="E99" s="2"/>
    </row>
    <row r="100" spans="1:5" ht="15" x14ac:dyDescent="0.3">
      <c r="A100" s="2"/>
      <c r="B100" s="2"/>
      <c r="C100" s="2"/>
      <c r="D100" s="2"/>
      <c r="E100" s="2"/>
    </row>
    <row r="101" spans="1:5" ht="15" x14ac:dyDescent="0.3">
      <c r="A101" s="2"/>
      <c r="B101" s="2"/>
      <c r="C101" s="2"/>
      <c r="D101" s="2"/>
      <c r="E101" s="2"/>
    </row>
    <row r="102" spans="1:5" ht="15" x14ac:dyDescent="0.3">
      <c r="A102" s="2"/>
      <c r="B102" s="2"/>
      <c r="C102" s="2"/>
      <c r="D102" s="2"/>
      <c r="E102" s="2"/>
    </row>
    <row r="103" spans="1:5" ht="15" x14ac:dyDescent="0.3">
      <c r="A103" s="2"/>
      <c r="B103" s="2"/>
      <c r="C103" s="2"/>
      <c r="D103" s="2"/>
      <c r="E103" s="2"/>
    </row>
    <row r="104" spans="1:5" ht="15" x14ac:dyDescent="0.3">
      <c r="A104" s="2"/>
      <c r="B104" s="2"/>
      <c r="C104" s="2"/>
      <c r="D104" s="2"/>
      <c r="E104" s="2"/>
    </row>
    <row r="105" spans="1:5" ht="15" x14ac:dyDescent="0.3">
      <c r="A105" s="2"/>
      <c r="B105" s="2"/>
      <c r="C105" s="2"/>
      <c r="D105" s="2"/>
      <c r="E105" s="2"/>
    </row>
    <row r="106" spans="1:5" ht="15" x14ac:dyDescent="0.3">
      <c r="A106" s="2"/>
      <c r="B106" s="2"/>
      <c r="C106" s="2"/>
      <c r="D106" s="2"/>
      <c r="E106" s="2"/>
    </row>
    <row r="107" spans="1:5" ht="15" x14ac:dyDescent="0.3">
      <c r="A107" s="2"/>
      <c r="B107" s="2"/>
      <c r="C107" s="2"/>
      <c r="D107" s="2"/>
      <c r="E107" s="2"/>
    </row>
    <row r="108" spans="1:5" ht="15" x14ac:dyDescent="0.3">
      <c r="A108" s="2"/>
      <c r="B108" s="2"/>
      <c r="C108" s="2"/>
      <c r="D108" s="2"/>
      <c r="E108" s="2"/>
    </row>
    <row r="109" spans="1:5" ht="15" x14ac:dyDescent="0.3">
      <c r="A109" s="2"/>
      <c r="B109" s="2"/>
      <c r="C109" s="2"/>
      <c r="D109" s="2"/>
      <c r="E109" s="2"/>
    </row>
    <row r="110" spans="1:5" ht="15" x14ac:dyDescent="0.3">
      <c r="A110" s="2"/>
      <c r="B110" s="2"/>
      <c r="C110" s="2"/>
      <c r="D110" s="2"/>
      <c r="E110" s="2"/>
    </row>
    <row r="111" spans="1:5" ht="15" x14ac:dyDescent="0.3">
      <c r="A111" s="2"/>
      <c r="B111" s="2"/>
      <c r="C111" s="2"/>
      <c r="D111" s="2"/>
      <c r="E111" s="2"/>
    </row>
    <row r="112" spans="1:5" ht="15" x14ac:dyDescent="0.3">
      <c r="A112" s="2"/>
      <c r="B112" s="2"/>
      <c r="C112" s="2"/>
      <c r="D112" s="2"/>
      <c r="E112" s="2"/>
    </row>
    <row r="113" spans="1:5" ht="15" x14ac:dyDescent="0.3">
      <c r="A113" s="2"/>
      <c r="B113" s="2"/>
      <c r="C113" s="2"/>
      <c r="D113" s="2"/>
      <c r="E113" s="2"/>
    </row>
    <row r="114" spans="1:5" ht="15" x14ac:dyDescent="0.3">
      <c r="A114" s="2"/>
      <c r="B114" s="2"/>
      <c r="C114" s="2"/>
      <c r="D114" s="2"/>
      <c r="E114" s="2"/>
    </row>
    <row r="115" spans="1:5" ht="15" x14ac:dyDescent="0.3">
      <c r="A115" s="2"/>
      <c r="B115" s="2"/>
      <c r="C115" s="2"/>
      <c r="D115" s="2"/>
      <c r="E115" s="2"/>
    </row>
    <row r="116" spans="1:5" ht="15" x14ac:dyDescent="0.3">
      <c r="A116" s="2"/>
      <c r="B116" s="2"/>
      <c r="C116" s="2"/>
      <c r="D116" s="2"/>
      <c r="E116" s="2"/>
    </row>
    <row r="117" spans="1:5" ht="15" x14ac:dyDescent="0.3">
      <c r="A117" s="2"/>
      <c r="B117" s="2"/>
      <c r="C117" s="2"/>
      <c r="D117" s="2"/>
      <c r="E117" s="2"/>
    </row>
    <row r="118" spans="1:5" ht="15" x14ac:dyDescent="0.3">
      <c r="A118" s="2"/>
      <c r="B118" s="2"/>
      <c r="C118" s="2"/>
      <c r="D118" s="2"/>
      <c r="E118" s="2"/>
    </row>
    <row r="119" spans="1:5" ht="15" x14ac:dyDescent="0.3">
      <c r="A119" s="2"/>
      <c r="B119" s="2"/>
      <c r="C119" s="2"/>
      <c r="D119" s="2"/>
      <c r="E119" s="2"/>
    </row>
    <row r="120" spans="1:5" ht="15" x14ac:dyDescent="0.3">
      <c r="A120" s="2"/>
      <c r="B120" s="2"/>
      <c r="C120" s="2"/>
      <c r="D120" s="2"/>
      <c r="E120" s="2"/>
    </row>
    <row r="121" spans="1:5" ht="15" x14ac:dyDescent="0.3">
      <c r="A121" s="2"/>
      <c r="B121" s="2"/>
      <c r="C121" s="2"/>
      <c r="D121" s="2"/>
      <c r="E121" s="2"/>
    </row>
    <row r="122" spans="1:5" ht="15" x14ac:dyDescent="0.3">
      <c r="A122" s="2"/>
      <c r="B122" s="2"/>
      <c r="C122" s="2"/>
      <c r="D122" s="2"/>
      <c r="E122" s="2"/>
    </row>
    <row r="123" spans="1:5" ht="15" x14ac:dyDescent="0.3">
      <c r="A123" s="2"/>
      <c r="B123" s="2"/>
      <c r="C123" s="2"/>
      <c r="D123" s="2"/>
      <c r="E123" s="2"/>
    </row>
    <row r="124" spans="1:5" ht="15" x14ac:dyDescent="0.3">
      <c r="A124" s="2"/>
      <c r="B124" s="2"/>
      <c r="C124" s="2"/>
      <c r="D124" s="2"/>
      <c r="E124" s="2"/>
    </row>
    <row r="125" spans="1:5" ht="15" x14ac:dyDescent="0.3">
      <c r="A125" s="2"/>
      <c r="B125" s="2"/>
      <c r="C125" s="2"/>
      <c r="D125" s="2"/>
      <c r="E125" s="2"/>
    </row>
    <row r="126" spans="1:5" ht="15" x14ac:dyDescent="0.3">
      <c r="A126" s="2"/>
    </row>
  </sheetData>
  <mergeCells count="14">
    <mergeCell ref="F4:F5"/>
    <mergeCell ref="A42:A43"/>
    <mergeCell ref="A4:A5"/>
    <mergeCell ref="A1:E1"/>
    <mergeCell ref="A2:E2"/>
    <mergeCell ref="B4:B5"/>
    <mergeCell ref="C4:C5"/>
    <mergeCell ref="D4:D5"/>
    <mergeCell ref="E4:E5"/>
    <mergeCell ref="B42:B43"/>
    <mergeCell ref="C42:C43"/>
    <mergeCell ref="D42:D43"/>
    <mergeCell ref="E42:E43"/>
    <mergeCell ref="F42:F43"/>
  </mergeCells>
  <phoneticPr fontId="9" type="noConversion"/>
  <pageMargins left="1.1811023622047245" right="0.78740157480314965" top="0.98425196850393704" bottom="0.98425196850393704" header="0.51181102362204722" footer="0.51181102362204722"/>
  <pageSetup paperSize="8" scale="83" orientation="portrait" r:id="rId1"/>
  <headerFooter alignWithMargins="0">
    <oddHeader>&amp;R&amp;"Bookman Old Style,Normál"15. MELLÉKLET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00000"/>
    <pageSetUpPr fitToPage="1"/>
  </sheetPr>
  <dimension ref="D2:T25"/>
  <sheetViews>
    <sheetView zoomScale="96" zoomScaleNormal="96" workbookViewId="0">
      <selection activeCell="T27" sqref="T27"/>
    </sheetView>
  </sheetViews>
  <sheetFormatPr defaultRowHeight="12.75" x14ac:dyDescent="0.2"/>
  <cols>
    <col min="3" max="3" width="9.7109375" customWidth="1"/>
    <col min="4" max="4" width="11.28515625" customWidth="1"/>
    <col min="5" max="5" width="15.28515625" customWidth="1"/>
    <col min="6" max="6" width="9" customWidth="1"/>
    <col min="7" max="7" width="17.28515625" bestFit="1" customWidth="1"/>
    <col min="9" max="9" width="18.140625" hidden="1" customWidth="1"/>
    <col min="10" max="10" width="18.140625" customWidth="1"/>
    <col min="12" max="12" width="10.42578125" customWidth="1"/>
    <col min="13" max="13" width="7.7109375" customWidth="1"/>
    <col min="14" max="14" width="12.140625" customWidth="1"/>
    <col min="16" max="16" width="12.140625" customWidth="1"/>
    <col min="17" max="17" width="12.85546875" hidden="1" customWidth="1"/>
    <col min="18" max="18" width="18.7109375" customWidth="1"/>
    <col min="20" max="20" width="13.28515625" customWidth="1"/>
  </cols>
  <sheetData>
    <row r="2" spans="4:20" ht="18" x14ac:dyDescent="0.25">
      <c r="D2" s="1124" t="s">
        <v>866</v>
      </c>
      <c r="E2" s="1124"/>
      <c r="F2" s="1124"/>
      <c r="G2" s="1124"/>
      <c r="H2" s="1124"/>
      <c r="I2" s="1124"/>
      <c r="J2" s="1124"/>
      <c r="K2" s="1124"/>
      <c r="L2" s="1124"/>
      <c r="M2" s="1124"/>
      <c r="N2" s="1124"/>
      <c r="O2" s="1124"/>
      <c r="P2" s="1124"/>
      <c r="Q2" s="1124"/>
      <c r="R2" s="1124"/>
      <c r="S2" s="502"/>
      <c r="T2" s="503"/>
    </row>
    <row r="3" spans="4:20" x14ac:dyDescent="0.2"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2"/>
      <c r="T3" s="503"/>
    </row>
    <row r="4" spans="4:20" x14ac:dyDescent="0.2">
      <c r="D4" s="504"/>
      <c r="E4" s="505"/>
      <c r="F4" s="505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2"/>
      <c r="T4" s="503"/>
    </row>
    <row r="5" spans="4:20" ht="18.75" thickBot="1" x14ac:dyDescent="0.3">
      <c r="R5" s="506" t="s">
        <v>225</v>
      </c>
      <c r="T5" s="507"/>
    </row>
    <row r="6" spans="4:20" ht="95.45" customHeight="1" thickTop="1" thickBot="1" x14ac:dyDescent="0.25">
      <c r="D6" s="1125" t="s">
        <v>190</v>
      </c>
      <c r="E6" s="1126"/>
      <c r="F6" s="508"/>
      <c r="G6" s="509" t="s">
        <v>673</v>
      </c>
      <c r="H6" s="508"/>
      <c r="I6" s="1127" t="s">
        <v>674</v>
      </c>
      <c r="J6" s="1126"/>
      <c r="K6" s="508"/>
      <c r="L6" s="509" t="s">
        <v>199</v>
      </c>
      <c r="M6" s="510"/>
      <c r="N6" s="1128" t="s">
        <v>675</v>
      </c>
      <c r="O6" s="1129"/>
      <c r="P6" s="511"/>
      <c r="Q6" s="1128" t="s">
        <v>676</v>
      </c>
      <c r="R6" s="1130"/>
      <c r="T6" s="1122" t="s">
        <v>61</v>
      </c>
    </row>
    <row r="7" spans="4:20" ht="27" customHeight="1" thickBot="1" x14ac:dyDescent="0.25">
      <c r="D7" s="512" t="s">
        <v>47</v>
      </c>
      <c r="E7" s="513" t="s">
        <v>677</v>
      </c>
      <c r="F7" s="513"/>
      <c r="G7" s="513" t="s">
        <v>677</v>
      </c>
      <c r="H7" s="512"/>
      <c r="I7" s="512" t="s">
        <v>678</v>
      </c>
      <c r="J7" s="513" t="s">
        <v>677</v>
      </c>
      <c r="K7" s="513"/>
      <c r="L7" s="513" t="s">
        <v>677</v>
      </c>
      <c r="M7" s="512"/>
      <c r="N7" s="512" t="s">
        <v>47</v>
      </c>
      <c r="O7" s="513" t="s">
        <v>677</v>
      </c>
      <c r="P7" s="512"/>
      <c r="Q7" s="512" t="s">
        <v>47</v>
      </c>
      <c r="R7" s="513" t="s">
        <v>677</v>
      </c>
      <c r="T7" s="1123"/>
    </row>
    <row r="8" spans="4:20" x14ac:dyDescent="0.2">
      <c r="D8" s="514"/>
      <c r="E8" s="515">
        <v>7349</v>
      </c>
      <c r="F8" s="516"/>
      <c r="G8" s="515">
        <v>1787</v>
      </c>
      <c r="H8" s="517"/>
      <c r="I8" s="514"/>
      <c r="J8" s="515">
        <v>35305</v>
      </c>
      <c r="K8" s="516"/>
      <c r="L8" s="516"/>
      <c r="M8" s="517"/>
      <c r="N8" s="514"/>
      <c r="O8" s="516"/>
      <c r="P8" s="517"/>
      <c r="Q8" s="514"/>
      <c r="R8" s="515">
        <v>814</v>
      </c>
      <c r="T8" s="518">
        <f>E8+G8+J8+L8+O8+R8</f>
        <v>45255</v>
      </c>
    </row>
    <row r="9" spans="4:20" x14ac:dyDescent="0.2">
      <c r="D9" s="519"/>
      <c r="E9" s="520"/>
      <c r="F9" s="520"/>
      <c r="G9" s="520"/>
      <c r="H9" s="521"/>
      <c r="I9" s="519"/>
      <c r="J9" s="520"/>
      <c r="K9" s="522"/>
      <c r="L9" s="520"/>
      <c r="M9" s="521"/>
      <c r="N9" s="519"/>
      <c r="O9" s="520"/>
      <c r="P9" s="521"/>
      <c r="Q9" s="519"/>
      <c r="R9" s="520"/>
      <c r="T9" s="523"/>
    </row>
    <row r="10" spans="4:20" x14ac:dyDescent="0.2">
      <c r="D10" s="519"/>
      <c r="E10" s="520"/>
      <c r="F10" s="520"/>
      <c r="G10" s="520"/>
      <c r="H10" s="521"/>
      <c r="I10" s="519"/>
      <c r="J10" s="520"/>
      <c r="K10" s="522"/>
      <c r="L10" s="520"/>
      <c r="M10" s="521"/>
      <c r="N10" s="519"/>
      <c r="O10" s="520"/>
      <c r="P10" s="521"/>
      <c r="Q10" s="519"/>
      <c r="R10" s="520"/>
      <c r="T10" s="523"/>
    </row>
    <row r="11" spans="4:20" x14ac:dyDescent="0.2">
      <c r="D11" s="519"/>
      <c r="E11" s="520"/>
      <c r="F11" s="520"/>
      <c r="G11" s="520"/>
      <c r="H11" s="521"/>
      <c r="I11" s="519"/>
      <c r="J11" s="520"/>
      <c r="K11" s="520"/>
      <c r="L11" s="520"/>
      <c r="M11" s="521"/>
      <c r="N11" s="519"/>
      <c r="O11" s="520"/>
      <c r="P11" s="521"/>
      <c r="Q11" s="519"/>
      <c r="R11" s="520"/>
      <c r="T11" s="523"/>
    </row>
    <row r="12" spans="4:20" x14ac:dyDescent="0.2">
      <c r="D12" s="519"/>
      <c r="E12" s="520"/>
      <c r="F12" s="520"/>
      <c r="G12" s="520"/>
      <c r="H12" s="521"/>
      <c r="I12" s="519"/>
      <c r="J12" s="520"/>
      <c r="K12" s="520"/>
      <c r="L12" s="520"/>
      <c r="M12" s="521"/>
      <c r="N12" s="519"/>
      <c r="O12" s="520"/>
      <c r="P12" s="521"/>
      <c r="Q12" s="519"/>
      <c r="R12" s="520"/>
      <c r="T12" s="523"/>
    </row>
    <row r="13" spans="4:20" x14ac:dyDescent="0.2">
      <c r="D13" s="519"/>
      <c r="E13" s="520"/>
      <c r="F13" s="520"/>
      <c r="G13" s="520"/>
      <c r="H13" s="521"/>
      <c r="I13" s="519"/>
      <c r="J13" s="520"/>
      <c r="K13" s="520"/>
      <c r="L13" s="520"/>
      <c r="M13" s="521"/>
      <c r="N13" s="519"/>
      <c r="O13" s="520"/>
      <c r="P13" s="521"/>
      <c r="Q13" s="519"/>
      <c r="R13" s="520"/>
      <c r="T13" s="523"/>
    </row>
    <row r="14" spans="4:20" x14ac:dyDescent="0.2">
      <c r="D14" s="519"/>
      <c r="E14" s="520"/>
      <c r="F14" s="520"/>
      <c r="G14" s="520"/>
      <c r="H14" s="521"/>
      <c r="I14" s="519"/>
      <c r="J14" s="520"/>
      <c r="K14" s="520"/>
      <c r="L14" s="520"/>
      <c r="M14" s="521"/>
      <c r="N14" s="519"/>
      <c r="O14" s="520"/>
      <c r="P14" s="521"/>
      <c r="Q14" s="519"/>
      <c r="R14" s="520"/>
      <c r="T14" s="523"/>
    </row>
    <row r="15" spans="4:20" x14ac:dyDescent="0.2">
      <c r="D15" s="519"/>
      <c r="E15" s="520"/>
      <c r="F15" s="520"/>
      <c r="G15" s="520"/>
      <c r="H15" s="521"/>
      <c r="I15" s="519"/>
      <c r="J15" s="520"/>
      <c r="K15" s="520"/>
      <c r="L15" s="520"/>
      <c r="M15" s="521"/>
      <c r="N15" s="519"/>
      <c r="O15" s="520"/>
      <c r="P15" s="521"/>
      <c r="Q15" s="519"/>
      <c r="R15" s="520"/>
      <c r="T15" s="523"/>
    </row>
    <row r="16" spans="4:20" x14ac:dyDescent="0.2">
      <c r="D16" s="519"/>
      <c r="E16" s="520"/>
      <c r="F16" s="520"/>
      <c r="G16" s="520"/>
      <c r="H16" s="521"/>
      <c r="I16" s="519"/>
      <c r="J16" s="520"/>
      <c r="K16" s="520"/>
      <c r="L16" s="520"/>
      <c r="M16" s="521"/>
      <c r="N16" s="519"/>
      <c r="O16" s="520"/>
      <c r="P16" s="521"/>
      <c r="Q16" s="519"/>
      <c r="R16" s="520"/>
      <c r="T16" s="523"/>
    </row>
    <row r="17" spans="4:20" x14ac:dyDescent="0.2">
      <c r="D17" s="519"/>
      <c r="E17" s="520"/>
      <c r="F17" s="520"/>
      <c r="G17" s="520"/>
      <c r="H17" s="521"/>
      <c r="I17" s="519"/>
      <c r="J17" s="520"/>
      <c r="K17" s="520"/>
      <c r="L17" s="520"/>
      <c r="M17" s="521"/>
      <c r="N17" s="519"/>
      <c r="O17" s="520"/>
      <c r="P17" s="521"/>
      <c r="Q17" s="519"/>
      <c r="R17" s="520"/>
      <c r="T17" s="523"/>
    </row>
    <row r="18" spans="4:20" ht="13.5" thickBot="1" x14ac:dyDescent="0.25">
      <c r="D18" s="519"/>
      <c r="E18" s="520"/>
      <c r="F18" s="520"/>
      <c r="G18" s="520"/>
      <c r="H18" s="521"/>
      <c r="I18" s="519"/>
      <c r="J18" s="520"/>
      <c r="K18" s="520"/>
      <c r="L18" s="520"/>
      <c r="M18" s="521"/>
      <c r="N18" s="519"/>
      <c r="O18" s="520"/>
      <c r="P18" s="521"/>
      <c r="Q18" s="519"/>
      <c r="R18" s="520"/>
      <c r="T18" s="523">
        <f t="shared" ref="T18" si="0">E18+G18+J18+L18+O18+R18</f>
        <v>0</v>
      </c>
    </row>
    <row r="19" spans="4:20" ht="14.25" thickTop="1" thickBot="1" x14ac:dyDescent="0.25">
      <c r="D19" s="524" t="s">
        <v>59</v>
      </c>
      <c r="E19" s="525">
        <f>SUM(E8:E18)</f>
        <v>7349</v>
      </c>
      <c r="F19" s="526"/>
      <c r="G19" s="525">
        <f>SUM(G8:G18)</f>
        <v>1787</v>
      </c>
      <c r="H19" s="527"/>
      <c r="I19" s="528"/>
      <c r="J19" s="525">
        <f>SUM(J8:J18)</f>
        <v>35305</v>
      </c>
      <c r="K19" s="526"/>
      <c r="L19" s="526">
        <f>SUM(L8:L18)</f>
        <v>0</v>
      </c>
      <c r="M19" s="527"/>
      <c r="N19" s="528"/>
      <c r="O19" s="526">
        <f>SUM(O8:O18)</f>
        <v>0</v>
      </c>
      <c r="P19" s="527"/>
      <c r="Q19" s="528"/>
      <c r="R19" s="525">
        <f>SUM(R8:R18)</f>
        <v>814</v>
      </c>
      <c r="S19" s="502"/>
      <c r="T19" s="529">
        <f>E19+G19+J19+L19+O19+R19</f>
        <v>45255</v>
      </c>
    </row>
    <row r="20" spans="4:20" x14ac:dyDescent="0.2">
      <c r="T20" s="507"/>
    </row>
    <row r="21" spans="4:20" x14ac:dyDescent="0.2">
      <c r="D21" s="54" t="s">
        <v>867</v>
      </c>
      <c r="G21" s="532">
        <v>1622781179</v>
      </c>
      <c r="H21" s="54" t="s">
        <v>641</v>
      </c>
      <c r="P21" s="392"/>
      <c r="T21" s="507"/>
    </row>
    <row r="22" spans="4:20" x14ac:dyDescent="0.2">
      <c r="D22" s="54" t="s">
        <v>512</v>
      </c>
      <c r="G22" s="532">
        <v>0</v>
      </c>
      <c r="H22" s="54" t="s">
        <v>641</v>
      </c>
      <c r="P22" s="392"/>
      <c r="T22" s="530"/>
    </row>
    <row r="23" spans="4:20" x14ac:dyDescent="0.2">
      <c r="D23" s="54" t="s">
        <v>679</v>
      </c>
      <c r="G23" s="531">
        <v>45255476</v>
      </c>
      <c r="H23" t="s">
        <v>680</v>
      </c>
      <c r="P23" s="392"/>
    </row>
    <row r="24" spans="4:20" x14ac:dyDescent="0.2">
      <c r="D24" s="54" t="s">
        <v>868</v>
      </c>
      <c r="G24" s="532">
        <f>G21-G23-G22</f>
        <v>1577525703</v>
      </c>
      <c r="H24" s="54" t="s">
        <v>641</v>
      </c>
      <c r="P24" s="392"/>
    </row>
    <row r="25" spans="4:20" x14ac:dyDescent="0.2">
      <c r="P25" s="392"/>
    </row>
  </sheetData>
  <mergeCells count="6">
    <mergeCell ref="T6:T7"/>
    <mergeCell ref="D2:R2"/>
    <mergeCell ref="D6:E6"/>
    <mergeCell ref="I6:J6"/>
    <mergeCell ref="N6:O6"/>
    <mergeCell ref="Q6:R6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headerFooter>
    <oddHeader>&amp;R16.MELLÉKLET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16</vt:i4>
      </vt:variant>
    </vt:vector>
  </HeadingPairs>
  <TitlesOfParts>
    <vt:vector size="40" baseType="lpstr">
      <vt:lpstr>kiemelt előirányzat</vt:lpstr>
      <vt:lpstr>1.bevételek össz</vt:lpstr>
      <vt:lpstr>2.tartozások</vt:lpstr>
      <vt:lpstr>3.kiadások össz</vt:lpstr>
      <vt:lpstr>3a kiadások részl. 3 tábl.</vt:lpstr>
      <vt:lpstr>4.finansz bev kiad</vt:lpstr>
      <vt:lpstr>5.beruh felújít pályázatból</vt:lpstr>
      <vt:lpstr>EU PROJEKT </vt:lpstr>
      <vt:lpstr> 5.a beruházások összesen</vt:lpstr>
      <vt:lpstr>5b.h.udvarok beruházási értékei</vt:lpstr>
      <vt:lpstr>5c. rekultivált ter. értékei</vt:lpstr>
      <vt:lpstr>6.tartalékok</vt:lpstr>
      <vt:lpstr>7.tagi hozzájárulások</vt:lpstr>
      <vt:lpstr>8.egyéb műk. és felhalm. bev </vt:lpstr>
      <vt:lpstr>létszám</vt:lpstr>
      <vt:lpstr>9.MÉRLEG BEVÉTEL</vt:lpstr>
      <vt:lpstr>10.MÉRLEG KIADÁS</vt:lpstr>
      <vt:lpstr>EI ÜTEMTERV</vt:lpstr>
      <vt:lpstr>11eszközök</vt:lpstr>
      <vt:lpstr>12források</vt:lpstr>
      <vt:lpstr>13vagyonkimutatás</vt:lpstr>
      <vt:lpstr>14pénzeszközök változása</vt:lpstr>
      <vt:lpstr>15,ÚJ RENDELET MELLÉKLET</vt:lpstr>
      <vt:lpstr>16.pénzmaradvány megbontás</vt:lpstr>
      <vt:lpstr>'1.bevételek össz'!Nyomtatási_terület</vt:lpstr>
      <vt:lpstr>'10.MÉRLEG KIADÁS'!Nyomtatási_terület</vt:lpstr>
      <vt:lpstr>'11eszközök'!Nyomtatási_terület</vt:lpstr>
      <vt:lpstr>'12források'!Nyomtatási_terület</vt:lpstr>
      <vt:lpstr>'15,ÚJ RENDELET MELLÉKLET'!Nyomtatási_terület</vt:lpstr>
      <vt:lpstr>'3.kiadások össz'!Nyomtatási_terület</vt:lpstr>
      <vt:lpstr>'4.finansz bev kiad'!Nyomtatási_terület</vt:lpstr>
      <vt:lpstr>'5.beruh felújít pályázatból'!Nyomtatási_terület</vt:lpstr>
      <vt:lpstr>'6.tartalékok'!Nyomtatási_terület</vt:lpstr>
      <vt:lpstr>'7.tagi hozzájárulások'!Nyomtatási_terület</vt:lpstr>
      <vt:lpstr>'8.egyéb műk. és felhalm. bev '!Nyomtatási_terület</vt:lpstr>
      <vt:lpstr>'9.MÉRLEG BEVÉTEL'!Nyomtatási_terület</vt:lpstr>
      <vt:lpstr>'EI ÜTEMTERV'!Nyomtatási_terület</vt:lpstr>
      <vt:lpstr>'EU PROJEKT '!Nyomtatási_terület</vt:lpstr>
      <vt:lpstr>'kiemelt előirányzat'!Nyomtatási_terület</vt:lpstr>
      <vt:lpstr>létszám!Nyomtatási_terület</vt:lpstr>
    </vt:vector>
  </TitlesOfParts>
  <Company>vállalkozás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böbe</dc:creator>
  <cp:lastModifiedBy>Leidliné Könczöl Enikő</cp:lastModifiedBy>
  <cp:lastPrinted>2025-04-09T07:50:33Z</cp:lastPrinted>
  <dcterms:created xsi:type="dcterms:W3CDTF">2013-01-22T19:33:25Z</dcterms:created>
  <dcterms:modified xsi:type="dcterms:W3CDTF">2025-04-09T07:51:15Z</dcterms:modified>
</cp:coreProperties>
</file>